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優磨\Desktop\フェンシング\H29川本杯\組合せ\"/>
    </mc:Choice>
  </mc:AlternateContent>
  <bookViews>
    <workbookView xWindow="-15" yWindow="-15" windowWidth="7650" windowHeight="8340" tabRatio="598"/>
  </bookViews>
  <sheets>
    <sheet name="名簿" sheetId="9" r:id="rId1"/>
    <sheet name="予選 Ｐ" sheetId="1" r:id="rId2"/>
    <sheet name="組合せ" sheetId="26" r:id="rId3"/>
    <sheet name="対戦表" sheetId="17" r:id="rId4"/>
    <sheet name="ｼｰﾄﾞ" sheetId="11" r:id="rId5"/>
    <sheet name="ﾄｰﾅﾒﾝﾄ" sheetId="20" r:id="rId6"/>
    <sheet name="T1" sheetId="21" r:id="rId7"/>
    <sheet name="T2" sheetId="22" r:id="rId8"/>
    <sheet name="T3" sheetId="23" r:id="rId9"/>
    <sheet name="T4" sheetId="24" r:id="rId10"/>
    <sheet name="T5" sheetId="25" r:id="rId11"/>
  </sheets>
  <definedNames>
    <definedName name="_xlnm._FilterDatabase" localSheetId="0" hidden="1">名簿!$A$4:$E$68</definedName>
    <definedName name="_xlnm.Print_Area" localSheetId="4">ｼｰﾄﾞ!$A$1:$I$68</definedName>
    <definedName name="_xlnm.Print_Area" localSheetId="5">ﾄｰﾅﾒﾝﾄ!$A$1:$P$194</definedName>
    <definedName name="_xlnm.Print_Area" localSheetId="2">組合せ!$A$1:$I$50</definedName>
    <definedName name="_xlnm.Print_Area" localSheetId="3">対戦表!$A$1:$O$912</definedName>
    <definedName name="_xlnm.Print_Area" localSheetId="0">名簿!$A$1:$E$68</definedName>
    <definedName name="_xlnm.Print_Area" localSheetId="1">'予選 Ｐ'!$A$1:$AF$100</definedName>
    <definedName name="_xlnm.Print_Titles" localSheetId="4">ｼｰﾄﾞ!$1:$3</definedName>
    <definedName name="_xlnm.Print_Titles" localSheetId="0">名簿!$1:$4</definedName>
    <definedName name="_xlnm.Print_Titles" localSheetId="1">'予選 Ｐ'!$1:$4</definedName>
    <definedName name="シード順位">ｼｰﾄﾞ!#REF!</definedName>
    <definedName name="シード順位訂正前">ｼｰﾄﾞ!#REF!</definedName>
    <definedName name="シード順位表参照範囲">ｼｰﾄﾞ!$A$10:$H$96</definedName>
    <definedName name="シード順位表番号列">ｼｰﾄﾞ!$B$10:$B$96</definedName>
    <definedName name="プール数">#REF!</definedName>
    <definedName name="決勝進出者名簿">#REF!</definedName>
    <definedName name="最終順位名簿">#REF!</definedName>
    <definedName name="参照ファイル名">#REF!</definedName>
    <definedName name="勝率">ｼｰﾄﾞ!#REF!</definedName>
    <definedName name="先頭行">#REF!</definedName>
    <definedName name="選手数">#REF!</definedName>
    <definedName name="訂正前シード順位表番号列">#REF!</definedName>
    <definedName name="突数率">ｼｰﾄﾞ!#REF!</definedName>
    <definedName name="被突率">ｼｰﾄﾞ!#REF!</definedName>
    <definedName name="名簿">名簿!$A$5:$E$68</definedName>
    <definedName name="予選０１Ｐ">'予選 Ｐ'!$C$5:$F$10</definedName>
    <definedName name="予選０２Ｐ">'予選 Ｐ'!$C$11:$F$16</definedName>
    <definedName name="予選０３Ｐ">'予選 Ｐ'!$C$17:$F$22</definedName>
    <definedName name="予選０４Ｐ">'予選 Ｐ'!$C$23:$F$28</definedName>
    <definedName name="予選０５Ｐ">'予選 Ｐ'!$C$29:$F$34</definedName>
    <definedName name="予選０６Ｐ">'予選 Ｐ'!$C$35:$F$40</definedName>
    <definedName name="予選０７Ｐ">'予選 Ｐ'!$C$41:$F$46</definedName>
    <definedName name="予選０８Ｐ">'予選 Ｐ'!$C$47:$F$52</definedName>
    <definedName name="予選０９Ｐ">'予選 Ｐ'!$C$53:$F$58</definedName>
    <definedName name="予選１０Ｐ">'予選 Ｐ'!$C$59:$F$64</definedName>
    <definedName name="予選１１Ｐ">'予選 Ｐ'!$C$65:$F$70</definedName>
    <definedName name="予選１２Ｐ">'予選 Ｐ'!$C$71:$F$76</definedName>
    <definedName name="予選１３Ｐ">'予選 Ｐ'!$C$77:$F$82</definedName>
    <definedName name="予選１４Ｐ">'予選 Ｐ'!$C$83:$F$88</definedName>
    <definedName name="予選１５Ｐ">'予選 Ｐ'!$C$89:$F$94</definedName>
    <definedName name="予選１６Ｐ">'予選 Ｐ'!$C$95:$F$100</definedName>
    <definedName name="予選Ｐ行数">#REF!</definedName>
  </definedNames>
  <calcPr calcId="152511"/>
</workbook>
</file>

<file path=xl/calcChain.xml><?xml version="1.0" encoding="utf-8"?>
<calcChain xmlns="http://schemas.openxmlformats.org/spreadsheetml/2006/main">
  <c r="A857" i="17" l="1"/>
  <c r="A856" i="17"/>
  <c r="A800" i="17"/>
  <c r="A799" i="17"/>
  <c r="A743" i="17"/>
  <c r="A742" i="17"/>
  <c r="A686" i="17"/>
  <c r="A685" i="17"/>
  <c r="A629" i="17"/>
  <c r="A628" i="17"/>
  <c r="A572" i="17"/>
  <c r="A571" i="17"/>
  <c r="A515" i="17"/>
  <c r="A514" i="17"/>
  <c r="A458" i="17"/>
  <c r="A457" i="17"/>
  <c r="A401" i="17"/>
  <c r="A400" i="17"/>
  <c r="A344" i="17"/>
  <c r="A343" i="17"/>
  <c r="A287" i="17"/>
  <c r="A286" i="17"/>
  <c r="A230" i="17"/>
  <c r="A229" i="17"/>
  <c r="A173" i="17"/>
  <c r="A172" i="17"/>
  <c r="A116" i="17"/>
  <c r="A115" i="17"/>
  <c r="A59" i="17"/>
  <c r="A58" i="17"/>
  <c r="A1" i="26" l="1"/>
  <c r="AE59" i="1" l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H52" i="1" l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D100" i="1" l="1"/>
  <c r="AF100" i="1" s="1"/>
  <c r="W94" i="1"/>
  <c r="V5" i="1"/>
  <c r="T5" i="1"/>
  <c r="P5" i="1"/>
  <c r="O5" i="1"/>
  <c r="N5" i="1"/>
  <c r="F33" i="26" l="1"/>
  <c r="F39" i="26"/>
  <c r="F45" i="26"/>
  <c r="F21" i="26"/>
  <c r="F27" i="26"/>
  <c r="A9" i="26"/>
  <c r="A15" i="26"/>
  <c r="A21" i="26"/>
  <c r="A27" i="26"/>
  <c r="A33" i="26"/>
  <c r="A39" i="26"/>
  <c r="A45" i="26"/>
  <c r="F3" i="26"/>
  <c r="F9" i="26"/>
  <c r="F15" i="26"/>
  <c r="A3" i="26"/>
  <c r="M2" i="20" l="1"/>
  <c r="L36" i="23"/>
  <c r="L31" i="23"/>
  <c r="L75" i="22"/>
  <c r="D75" i="22"/>
  <c r="L70" i="22"/>
  <c r="D70" i="22"/>
  <c r="L65" i="22"/>
  <c r="D65" i="22"/>
  <c r="L60" i="22"/>
  <c r="D60" i="22"/>
  <c r="L55" i="22"/>
  <c r="D55" i="22"/>
  <c r="L50" i="22"/>
  <c r="D50" i="22"/>
  <c r="L45" i="22"/>
  <c r="D45" i="22"/>
  <c r="L40" i="22"/>
  <c r="D40" i="22"/>
  <c r="L36" i="22"/>
  <c r="D36" i="22"/>
  <c r="L31" i="22"/>
  <c r="D31" i="22"/>
  <c r="L26" i="22"/>
  <c r="D26" i="22"/>
  <c r="L21" i="22"/>
  <c r="D21" i="22"/>
  <c r="L181" i="21"/>
  <c r="D181" i="21"/>
  <c r="L175" i="21"/>
  <c r="D175" i="21"/>
  <c r="L169" i="21"/>
  <c r="D169" i="21"/>
  <c r="L163" i="21"/>
  <c r="D163" i="21"/>
  <c r="L157" i="21"/>
  <c r="D157" i="21"/>
  <c r="L151" i="21"/>
  <c r="D151" i="21"/>
  <c r="L145" i="21"/>
  <c r="D145" i="21"/>
  <c r="L139" i="21"/>
  <c r="D139" i="21"/>
  <c r="L135" i="21"/>
  <c r="D135" i="21"/>
  <c r="L129" i="21"/>
  <c r="D129" i="21"/>
  <c r="L123" i="21"/>
  <c r="D123" i="21"/>
  <c r="L117" i="21"/>
  <c r="D117" i="21"/>
  <c r="L111" i="21"/>
  <c r="D111" i="21"/>
  <c r="L105" i="21"/>
  <c r="D105" i="21"/>
  <c r="L99" i="21"/>
  <c r="D99" i="21"/>
  <c r="L93" i="21"/>
  <c r="D93" i="21"/>
  <c r="L89" i="21"/>
  <c r="D89" i="21"/>
  <c r="L83" i="21"/>
  <c r="D83" i="21"/>
  <c r="L77" i="21"/>
  <c r="D77" i="21"/>
  <c r="L71" i="21"/>
  <c r="D71" i="21"/>
  <c r="L65" i="21"/>
  <c r="D65" i="21"/>
  <c r="L59" i="21"/>
  <c r="D59" i="21"/>
  <c r="L53" i="21"/>
  <c r="D53" i="21"/>
  <c r="L47" i="21"/>
  <c r="D47" i="21"/>
  <c r="L43" i="21"/>
  <c r="D43" i="21"/>
  <c r="L37" i="21"/>
  <c r="D37" i="21"/>
  <c r="L31" i="21"/>
  <c r="D31" i="21"/>
  <c r="L25" i="21"/>
  <c r="D25" i="21"/>
  <c r="L19" i="21"/>
  <c r="D19" i="21"/>
  <c r="L13" i="21"/>
  <c r="D13" i="21"/>
  <c r="A18" i="25"/>
  <c r="A12" i="25"/>
  <c r="A6" i="25"/>
  <c r="A1" i="25"/>
  <c r="D1" i="25"/>
  <c r="A16" i="24"/>
  <c r="A11" i="24"/>
  <c r="A6" i="24"/>
  <c r="D1" i="24"/>
  <c r="A36" i="23"/>
  <c r="A31" i="23"/>
  <c r="A26" i="23"/>
  <c r="A21" i="23"/>
  <c r="A16" i="23"/>
  <c r="A11" i="23"/>
  <c r="A6" i="23"/>
  <c r="D1" i="23"/>
  <c r="A75" i="22"/>
  <c r="A70" i="22"/>
  <c r="A65" i="22"/>
  <c r="A60" i="22"/>
  <c r="A55" i="22"/>
  <c r="A50" i="22"/>
  <c r="A45" i="22"/>
  <c r="A40" i="22"/>
  <c r="A36" i="22"/>
  <c r="A31" i="22"/>
  <c r="A26" i="22"/>
  <c r="A21" i="22"/>
  <c r="A16" i="22"/>
  <c r="A11" i="22"/>
  <c r="A6" i="22"/>
  <c r="A181" i="21"/>
  <c r="A175" i="21"/>
  <c r="A169" i="21"/>
  <c r="A163" i="21"/>
  <c r="A157" i="21"/>
  <c r="A151" i="21"/>
  <c r="A145" i="21"/>
  <c r="A139" i="21"/>
  <c r="A135" i="21"/>
  <c r="A129" i="21"/>
  <c r="A123" i="21"/>
  <c r="A117" i="21"/>
  <c r="A111" i="21"/>
  <c r="A105" i="21"/>
  <c r="A99" i="21"/>
  <c r="A93" i="21"/>
  <c r="A89" i="21"/>
  <c r="A83" i="21"/>
  <c r="A77" i="21"/>
  <c r="A71" i="21"/>
  <c r="A65" i="21"/>
  <c r="A59" i="21"/>
  <c r="A53" i="21"/>
  <c r="A47" i="21"/>
  <c r="A43" i="21"/>
  <c r="A37" i="21"/>
  <c r="A31" i="21"/>
  <c r="A25" i="21"/>
  <c r="A19" i="21"/>
  <c r="A13" i="21"/>
  <c r="A7" i="21"/>
  <c r="A1" i="21"/>
  <c r="D18" i="25"/>
  <c r="L6" i="25"/>
  <c r="A45" i="9"/>
  <c r="A46" i="11" s="1"/>
  <c r="A46" i="9"/>
  <c r="A47" i="11" s="1"/>
  <c r="A47" i="9"/>
  <c r="A48" i="11" s="1"/>
  <c r="A48" i="9"/>
  <c r="A49" i="11" s="1"/>
  <c r="A49" i="9"/>
  <c r="A50" i="11" s="1"/>
  <c r="A50" i="9"/>
  <c r="A51" i="11" s="1"/>
  <c r="A51" i="9"/>
  <c r="A52" i="11" s="1"/>
  <c r="A52" i="9"/>
  <c r="A53" i="11" s="1"/>
  <c r="A53" i="9"/>
  <c r="A54" i="11" s="1"/>
  <c r="R53" i="1"/>
  <c r="Q53" i="1"/>
  <c r="P53" i="1"/>
  <c r="O53" i="1"/>
  <c r="N53" i="1"/>
  <c r="Z53" i="1"/>
  <c r="S54" i="1"/>
  <c r="S55" i="1"/>
  <c r="S56" i="1"/>
  <c r="S57" i="1"/>
  <c r="S58" i="1"/>
  <c r="T53" i="1"/>
  <c r="U53" i="1"/>
  <c r="V53" i="1"/>
  <c r="W53" i="1"/>
  <c r="X53" i="1"/>
  <c r="R54" i="1"/>
  <c r="AR54" i="1" s="1"/>
  <c r="Q54" i="1"/>
  <c r="P54" i="1"/>
  <c r="O54" i="1"/>
  <c r="M54" i="1"/>
  <c r="Z54" i="1"/>
  <c r="T55" i="1"/>
  <c r="T56" i="1"/>
  <c r="T57" i="1"/>
  <c r="T58" i="1"/>
  <c r="U54" i="1"/>
  <c r="V54" i="1"/>
  <c r="W54" i="1"/>
  <c r="X54" i="1"/>
  <c r="R55" i="1"/>
  <c r="Q55" i="1"/>
  <c r="AO57" i="1" s="1"/>
  <c r="P55" i="1"/>
  <c r="N55" i="1"/>
  <c r="AN55" i="1" s="1"/>
  <c r="M55" i="1"/>
  <c r="Z55" i="1"/>
  <c r="U56" i="1"/>
  <c r="U57" i="1"/>
  <c r="U58" i="1"/>
  <c r="V55" i="1"/>
  <c r="W55" i="1"/>
  <c r="X55" i="1"/>
  <c r="R56" i="1"/>
  <c r="AP58" i="1" s="1"/>
  <c r="Q56" i="1"/>
  <c r="O56" i="1"/>
  <c r="N56" i="1"/>
  <c r="M56" i="1"/>
  <c r="Z56" i="1"/>
  <c r="V57" i="1"/>
  <c r="V58" i="1"/>
  <c r="W56" i="1"/>
  <c r="X56" i="1"/>
  <c r="R57" i="1"/>
  <c r="P57" i="1"/>
  <c r="O57" i="1"/>
  <c r="N57" i="1"/>
  <c r="AQ54" i="1" s="1"/>
  <c r="M57" i="1"/>
  <c r="Z57" i="1"/>
  <c r="W58" i="1"/>
  <c r="X57" i="1"/>
  <c r="R59" i="1"/>
  <c r="AR59" i="1" s="1"/>
  <c r="Q59" i="1"/>
  <c r="AM63" i="1" s="1"/>
  <c r="P59" i="1"/>
  <c r="O59" i="1"/>
  <c r="N59" i="1"/>
  <c r="AN59" i="1" s="1"/>
  <c r="Z59" i="1"/>
  <c r="S60" i="1"/>
  <c r="S61" i="1"/>
  <c r="S62" i="1"/>
  <c r="S63" i="1"/>
  <c r="S64" i="1"/>
  <c r="T59" i="1"/>
  <c r="U59" i="1"/>
  <c r="V59" i="1"/>
  <c r="W59" i="1"/>
  <c r="X59" i="1"/>
  <c r="R60" i="1"/>
  <c r="Q60" i="1"/>
  <c r="P60" i="1"/>
  <c r="O60" i="1"/>
  <c r="M60" i="1"/>
  <c r="Z60" i="1"/>
  <c r="T61" i="1"/>
  <c r="T62" i="1"/>
  <c r="T63" i="1"/>
  <c r="T64" i="1"/>
  <c r="U60" i="1"/>
  <c r="V60" i="1"/>
  <c r="W60" i="1"/>
  <c r="X60" i="1"/>
  <c r="R61" i="1"/>
  <c r="AO64" i="1" s="1"/>
  <c r="Q61" i="1"/>
  <c r="P61" i="1"/>
  <c r="AP61" i="1" s="1"/>
  <c r="N61" i="1"/>
  <c r="AO60" i="1" s="1"/>
  <c r="M61" i="1"/>
  <c r="Z61" i="1"/>
  <c r="U62" i="1"/>
  <c r="U63" i="1"/>
  <c r="U64" i="1"/>
  <c r="V61" i="1"/>
  <c r="W61" i="1"/>
  <c r="X61" i="1"/>
  <c r="R62" i="1"/>
  <c r="AP64" i="1" s="1"/>
  <c r="Q62" i="1"/>
  <c r="O62" i="1"/>
  <c r="N62" i="1"/>
  <c r="M62" i="1"/>
  <c r="Z62" i="1"/>
  <c r="V63" i="1"/>
  <c r="V64" i="1"/>
  <c r="W62" i="1"/>
  <c r="X62" i="1"/>
  <c r="R63" i="1"/>
  <c r="AR63" i="1" s="1"/>
  <c r="P63" i="1"/>
  <c r="O63" i="1"/>
  <c r="N63" i="1"/>
  <c r="AQ60" i="1" s="1"/>
  <c r="M63" i="1"/>
  <c r="Z63" i="1"/>
  <c r="W64" i="1"/>
  <c r="X63" i="1"/>
  <c r="R65" i="1"/>
  <c r="AR65" i="1" s="1"/>
  <c r="Q65" i="1"/>
  <c r="P65" i="1"/>
  <c r="AM68" i="1" s="1"/>
  <c r="O65" i="1"/>
  <c r="AO65" i="1" s="1"/>
  <c r="N65" i="1"/>
  <c r="AM66" i="1" s="1"/>
  <c r="Z65" i="1"/>
  <c r="S66" i="1"/>
  <c r="S67" i="1"/>
  <c r="S68" i="1"/>
  <c r="S69" i="1"/>
  <c r="T65" i="1"/>
  <c r="U65" i="1"/>
  <c r="V65" i="1"/>
  <c r="AD68" i="1" s="1"/>
  <c r="W65" i="1"/>
  <c r="S70" i="1"/>
  <c r="V66" i="1"/>
  <c r="V67" i="1"/>
  <c r="V69" i="1"/>
  <c r="X65" i="1"/>
  <c r="AC65" i="1"/>
  <c r="R66" i="1"/>
  <c r="AR66" i="1" s="1"/>
  <c r="Q66" i="1"/>
  <c r="P66" i="1"/>
  <c r="AP66" i="1" s="1"/>
  <c r="O66" i="1"/>
  <c r="M66" i="1"/>
  <c r="AN65" i="1" s="1"/>
  <c r="Z66" i="1"/>
  <c r="T67" i="1"/>
  <c r="AC67" i="1" s="1"/>
  <c r="T68" i="1"/>
  <c r="T69" i="1"/>
  <c r="T70" i="1"/>
  <c r="U66" i="1"/>
  <c r="U68" i="1"/>
  <c r="AC68" i="1" s="1"/>
  <c r="U69" i="1"/>
  <c r="W67" i="1"/>
  <c r="W66" i="1"/>
  <c r="X66" i="1"/>
  <c r="AC66" i="1" s="1"/>
  <c r="R67" i="1"/>
  <c r="Q67" i="1"/>
  <c r="P67" i="1"/>
  <c r="N67" i="1"/>
  <c r="M67" i="1"/>
  <c r="AA67" i="1" s="1"/>
  <c r="Z67" i="1"/>
  <c r="U70" i="1"/>
  <c r="AD67" i="1"/>
  <c r="X67" i="1"/>
  <c r="R68" i="1"/>
  <c r="AR68" i="1" s="1"/>
  <c r="Q68" i="1"/>
  <c r="AQ68" i="1" s="1"/>
  <c r="O68" i="1"/>
  <c r="N68" i="1"/>
  <c r="M68" i="1"/>
  <c r="Z68" i="1"/>
  <c r="V70" i="1"/>
  <c r="W68" i="1"/>
  <c r="X68" i="1"/>
  <c r="R69" i="1"/>
  <c r="P69" i="1"/>
  <c r="O69" i="1"/>
  <c r="N69" i="1"/>
  <c r="AN69" i="1" s="1"/>
  <c r="M69" i="1"/>
  <c r="Z69" i="1"/>
  <c r="W70" i="1"/>
  <c r="AD69" i="1"/>
  <c r="X69" i="1"/>
  <c r="R71" i="1"/>
  <c r="AM76" i="1" s="1"/>
  <c r="Q71" i="1"/>
  <c r="P71" i="1"/>
  <c r="AM74" i="1" s="1"/>
  <c r="O71" i="1"/>
  <c r="AM73" i="1" s="1"/>
  <c r="N71" i="1"/>
  <c r="AM72" i="1" s="1"/>
  <c r="Z71" i="1"/>
  <c r="S72" i="1"/>
  <c r="S73" i="1"/>
  <c r="S74" i="1"/>
  <c r="S75" i="1"/>
  <c r="AC75" i="1"/>
  <c r="S76" i="1"/>
  <c r="T71" i="1"/>
  <c r="U71" i="1"/>
  <c r="V71" i="1"/>
  <c r="W71" i="1"/>
  <c r="X71" i="1"/>
  <c r="R72" i="1"/>
  <c r="AN76" i="1" s="1"/>
  <c r="Q72" i="1"/>
  <c r="AN75" i="1" s="1"/>
  <c r="P72" i="1"/>
  <c r="AN74" i="1" s="1"/>
  <c r="O72" i="1"/>
  <c r="AN73" i="1" s="1"/>
  <c r="M72" i="1"/>
  <c r="AA72" i="1"/>
  <c r="Z72" i="1"/>
  <c r="T73" i="1"/>
  <c r="T74" i="1"/>
  <c r="AC74" i="1"/>
  <c r="T75" i="1"/>
  <c r="T76" i="1"/>
  <c r="U72" i="1"/>
  <c r="V72" i="1"/>
  <c r="W72" i="1"/>
  <c r="X72" i="1"/>
  <c r="AC72" i="1"/>
  <c r="R73" i="1"/>
  <c r="AR73" i="1" s="1"/>
  <c r="Q73" i="1"/>
  <c r="AQ73" i="1" s="1"/>
  <c r="P73" i="1"/>
  <c r="AO74" i="1" s="1"/>
  <c r="N73" i="1"/>
  <c r="M73" i="1"/>
  <c r="AA73" i="1"/>
  <c r="Z73" i="1"/>
  <c r="U74" i="1"/>
  <c r="U75" i="1"/>
  <c r="U76" i="1"/>
  <c r="V73" i="1"/>
  <c r="W73" i="1"/>
  <c r="X73" i="1"/>
  <c r="R74" i="1"/>
  <c r="AP76" i="1" s="1"/>
  <c r="Q74" i="1"/>
  <c r="AP75" i="1" s="1"/>
  <c r="O74" i="1"/>
  <c r="N74" i="1"/>
  <c r="M74" i="1"/>
  <c r="AA74" i="1"/>
  <c r="Z74" i="1"/>
  <c r="V75" i="1"/>
  <c r="V76" i="1"/>
  <c r="W74" i="1"/>
  <c r="X74" i="1"/>
  <c r="R75" i="1"/>
  <c r="AQ76" i="1" s="1"/>
  <c r="P75" i="1"/>
  <c r="O75" i="1"/>
  <c r="N75" i="1"/>
  <c r="M75" i="1"/>
  <c r="Z75" i="1"/>
  <c r="W76" i="1"/>
  <c r="X75" i="1"/>
  <c r="R77" i="1"/>
  <c r="AM82" i="1" s="1"/>
  <c r="Q77" i="1"/>
  <c r="AQ77" i="1" s="1"/>
  <c r="P77" i="1"/>
  <c r="AM80" i="1" s="1"/>
  <c r="O77" i="1"/>
  <c r="AO77" i="1" s="1"/>
  <c r="N77" i="1"/>
  <c r="AM78" i="1" s="1"/>
  <c r="AA77" i="1"/>
  <c r="Z77" i="1"/>
  <c r="S78" i="1"/>
  <c r="S79" i="1"/>
  <c r="S80" i="1"/>
  <c r="S81" i="1"/>
  <c r="S82" i="1"/>
  <c r="T77" i="1"/>
  <c r="U77" i="1"/>
  <c r="V77" i="1"/>
  <c r="W77" i="1"/>
  <c r="X77" i="1"/>
  <c r="R78" i="1"/>
  <c r="AR78" i="1" s="1"/>
  <c r="Q78" i="1"/>
  <c r="AN81" i="1" s="1"/>
  <c r="P78" i="1"/>
  <c r="AP78" i="1" s="1"/>
  <c r="O78" i="1"/>
  <c r="AN79" i="1" s="1"/>
  <c r="M78" i="1"/>
  <c r="AA78" i="1"/>
  <c r="Z78" i="1"/>
  <c r="T79" i="1"/>
  <c r="T80" i="1"/>
  <c r="T81" i="1"/>
  <c r="T82" i="1"/>
  <c r="U78" i="1"/>
  <c r="V78" i="1"/>
  <c r="W78" i="1"/>
  <c r="X78" i="1"/>
  <c r="AC78" i="1"/>
  <c r="R79" i="1"/>
  <c r="AO82" i="1" s="1"/>
  <c r="Q79" i="1"/>
  <c r="AQ79" i="1" s="1"/>
  <c r="P79" i="1"/>
  <c r="AO80" i="1" s="1"/>
  <c r="N79" i="1"/>
  <c r="M79" i="1"/>
  <c r="AA79" i="1"/>
  <c r="Z79" i="1"/>
  <c r="U80" i="1"/>
  <c r="U81" i="1"/>
  <c r="U82" i="1"/>
  <c r="V79" i="1"/>
  <c r="W79" i="1"/>
  <c r="X79" i="1"/>
  <c r="R80" i="1"/>
  <c r="AP82" i="1" s="1"/>
  <c r="Q80" i="1"/>
  <c r="AP81" i="1" s="1"/>
  <c r="O80" i="1"/>
  <c r="N80" i="1"/>
  <c r="M80" i="1"/>
  <c r="AA80" i="1"/>
  <c r="Z80" i="1"/>
  <c r="V81" i="1"/>
  <c r="V82" i="1"/>
  <c r="W80" i="1"/>
  <c r="X80" i="1"/>
  <c r="P49" i="1"/>
  <c r="N49" i="1"/>
  <c r="Z49" i="1"/>
  <c r="V49" i="1"/>
  <c r="T49" i="1"/>
  <c r="U51" i="1"/>
  <c r="U50" i="1"/>
  <c r="O50" i="1"/>
  <c r="Z50" i="1"/>
  <c r="Q48" i="1"/>
  <c r="M48" i="1"/>
  <c r="Z48" i="1"/>
  <c r="W48" i="1"/>
  <c r="S48" i="1"/>
  <c r="S51" i="1"/>
  <c r="M51" i="1"/>
  <c r="O51" i="1"/>
  <c r="Z51" i="1"/>
  <c r="Q10" i="1"/>
  <c r="P10" i="1"/>
  <c r="O10" i="1"/>
  <c r="N10" i="1"/>
  <c r="M10" i="1"/>
  <c r="Z10" i="1"/>
  <c r="X5" i="1"/>
  <c r="X6" i="1"/>
  <c r="X7" i="1"/>
  <c r="X8" i="1"/>
  <c r="X9" i="1"/>
  <c r="W10" i="1"/>
  <c r="V10" i="1"/>
  <c r="U10" i="1"/>
  <c r="T10" i="1"/>
  <c r="S10" i="1"/>
  <c r="T9" i="1"/>
  <c r="U9" i="1"/>
  <c r="V9" i="1"/>
  <c r="N9" i="1"/>
  <c r="O9" i="1"/>
  <c r="P9" i="1"/>
  <c r="Z9" i="1"/>
  <c r="T8" i="1"/>
  <c r="U8" i="1"/>
  <c r="N8" i="1"/>
  <c r="O8" i="1"/>
  <c r="Z8" i="1"/>
  <c r="T7" i="1"/>
  <c r="N7" i="1"/>
  <c r="Z7" i="1"/>
  <c r="S12" i="1"/>
  <c r="S13" i="1"/>
  <c r="S14" i="1"/>
  <c r="S15" i="1"/>
  <c r="S16" i="1"/>
  <c r="M12" i="1"/>
  <c r="Z12" i="1"/>
  <c r="T13" i="1"/>
  <c r="T14" i="1"/>
  <c r="T15" i="1"/>
  <c r="T16" i="1"/>
  <c r="M13" i="1"/>
  <c r="N13" i="1"/>
  <c r="Z13" i="1"/>
  <c r="U14" i="1"/>
  <c r="U15" i="1"/>
  <c r="U16" i="1"/>
  <c r="M14" i="1"/>
  <c r="N14" i="1"/>
  <c r="O14" i="1"/>
  <c r="Z14" i="1"/>
  <c r="V15" i="1"/>
  <c r="V16" i="1"/>
  <c r="M15" i="1"/>
  <c r="N15" i="1"/>
  <c r="O15" i="1"/>
  <c r="P15" i="1"/>
  <c r="Z15" i="1"/>
  <c r="W16" i="1"/>
  <c r="M16" i="1"/>
  <c r="N16" i="1"/>
  <c r="O16" i="1"/>
  <c r="P16" i="1"/>
  <c r="Q16" i="1"/>
  <c r="Z16" i="1"/>
  <c r="S18" i="1"/>
  <c r="S19" i="1"/>
  <c r="S20" i="1"/>
  <c r="S21" i="1"/>
  <c r="S22" i="1"/>
  <c r="M18" i="1"/>
  <c r="Z18" i="1"/>
  <c r="T19" i="1"/>
  <c r="T20" i="1"/>
  <c r="T21" i="1"/>
  <c r="T22" i="1"/>
  <c r="M19" i="1"/>
  <c r="N19" i="1"/>
  <c r="Z19" i="1"/>
  <c r="U22" i="1"/>
  <c r="U21" i="1"/>
  <c r="U20" i="1"/>
  <c r="M20" i="1"/>
  <c r="N20" i="1"/>
  <c r="O20" i="1"/>
  <c r="Z20" i="1"/>
  <c r="V21" i="1"/>
  <c r="V22" i="1"/>
  <c r="M21" i="1"/>
  <c r="N21" i="1"/>
  <c r="O21" i="1"/>
  <c r="P21" i="1"/>
  <c r="Z21" i="1"/>
  <c r="W22" i="1"/>
  <c r="M22" i="1"/>
  <c r="N22" i="1"/>
  <c r="O22" i="1"/>
  <c r="P22" i="1"/>
  <c r="Q22" i="1"/>
  <c r="Z22" i="1"/>
  <c r="S24" i="1"/>
  <c r="S25" i="1"/>
  <c r="S26" i="1"/>
  <c r="S27" i="1"/>
  <c r="S28" i="1"/>
  <c r="M24" i="1"/>
  <c r="Z24" i="1"/>
  <c r="T28" i="1"/>
  <c r="T27" i="1"/>
  <c r="T26" i="1"/>
  <c r="T25" i="1"/>
  <c r="M25" i="1"/>
  <c r="N25" i="1"/>
  <c r="Z25" i="1"/>
  <c r="U28" i="1"/>
  <c r="U27" i="1"/>
  <c r="U26" i="1"/>
  <c r="M26" i="1"/>
  <c r="N26" i="1"/>
  <c r="O26" i="1"/>
  <c r="Z26" i="1"/>
  <c r="V27" i="1"/>
  <c r="V28" i="1"/>
  <c r="M27" i="1"/>
  <c r="N27" i="1"/>
  <c r="O27" i="1"/>
  <c r="P27" i="1"/>
  <c r="Z27" i="1"/>
  <c r="W28" i="1"/>
  <c r="M28" i="1"/>
  <c r="N28" i="1"/>
  <c r="O28" i="1"/>
  <c r="P28" i="1"/>
  <c r="Q28" i="1"/>
  <c r="Z28" i="1"/>
  <c r="O29" i="1"/>
  <c r="Z29" i="1"/>
  <c r="S30" i="1"/>
  <c r="S31" i="1"/>
  <c r="S32" i="1"/>
  <c r="S33" i="1"/>
  <c r="U29" i="1"/>
  <c r="U33" i="1"/>
  <c r="U32" i="1"/>
  <c r="T31" i="1"/>
  <c r="M31" i="1"/>
  <c r="N31" i="1"/>
  <c r="Z31" i="1"/>
  <c r="M30" i="1"/>
  <c r="Z30" i="1"/>
  <c r="T32" i="1"/>
  <c r="T33" i="1"/>
  <c r="M32" i="1"/>
  <c r="N32" i="1"/>
  <c r="O32" i="1"/>
  <c r="AP31" i="1" s="1"/>
  <c r="Z32" i="1"/>
  <c r="V33" i="1"/>
  <c r="M33" i="1"/>
  <c r="N33" i="1"/>
  <c r="O33" i="1"/>
  <c r="P33" i="1"/>
  <c r="Z33" i="1"/>
  <c r="P35" i="1"/>
  <c r="O35" i="1"/>
  <c r="N35" i="1"/>
  <c r="Q35" i="1"/>
  <c r="Z35" i="1"/>
  <c r="S36" i="1"/>
  <c r="S37" i="1"/>
  <c r="S38" i="1"/>
  <c r="S39" i="1"/>
  <c r="T35" i="1"/>
  <c r="U35" i="1"/>
  <c r="V35" i="1"/>
  <c r="W35" i="1"/>
  <c r="P36" i="1"/>
  <c r="O36" i="1"/>
  <c r="M36" i="1"/>
  <c r="Q36" i="1"/>
  <c r="Z36" i="1"/>
  <c r="T37" i="1"/>
  <c r="T38" i="1"/>
  <c r="T39" i="1"/>
  <c r="U36" i="1"/>
  <c r="V36" i="1"/>
  <c r="W36" i="1"/>
  <c r="P37" i="1"/>
  <c r="N37" i="1"/>
  <c r="M37" i="1"/>
  <c r="Q37" i="1"/>
  <c r="Z37" i="1"/>
  <c r="U38" i="1"/>
  <c r="U39" i="1"/>
  <c r="V37" i="1"/>
  <c r="W37" i="1"/>
  <c r="O38" i="1"/>
  <c r="N38" i="1"/>
  <c r="M38" i="1"/>
  <c r="Q38" i="1"/>
  <c r="Z38" i="1"/>
  <c r="V39" i="1"/>
  <c r="W38" i="1"/>
  <c r="P39" i="1"/>
  <c r="O39" i="1"/>
  <c r="N39" i="1"/>
  <c r="M39" i="1"/>
  <c r="Z39" i="1"/>
  <c r="Q41" i="1"/>
  <c r="P41" i="1"/>
  <c r="O41" i="1"/>
  <c r="N41" i="1"/>
  <c r="AM42" i="1" s="1"/>
  <c r="Z41" i="1"/>
  <c r="S42" i="1"/>
  <c r="S43" i="1"/>
  <c r="S44" i="1"/>
  <c r="S45" i="1"/>
  <c r="T41" i="1"/>
  <c r="U41" i="1"/>
  <c r="V41" i="1"/>
  <c r="W41" i="1"/>
  <c r="Q42" i="1"/>
  <c r="P42" i="1"/>
  <c r="O42" i="1"/>
  <c r="M42" i="1"/>
  <c r="Z42" i="1"/>
  <c r="T43" i="1"/>
  <c r="T44" i="1"/>
  <c r="T45" i="1"/>
  <c r="U42" i="1"/>
  <c r="V42" i="1"/>
  <c r="W42" i="1"/>
  <c r="Q43" i="1"/>
  <c r="P43" i="1"/>
  <c r="N43" i="1"/>
  <c r="M43" i="1"/>
  <c r="Z43" i="1"/>
  <c r="U44" i="1"/>
  <c r="U45" i="1"/>
  <c r="V43" i="1"/>
  <c r="W43" i="1"/>
  <c r="Q44" i="1"/>
  <c r="O44" i="1"/>
  <c r="N44" i="1"/>
  <c r="M44" i="1"/>
  <c r="Z44" i="1"/>
  <c r="V45" i="1"/>
  <c r="W44" i="1"/>
  <c r="P45" i="1"/>
  <c r="O45" i="1"/>
  <c r="N45" i="1"/>
  <c r="M45" i="1"/>
  <c r="Z45" i="1"/>
  <c r="Q47" i="1"/>
  <c r="AM51" i="1" s="1"/>
  <c r="P47" i="1"/>
  <c r="O47" i="1"/>
  <c r="N47" i="1"/>
  <c r="Z47" i="1"/>
  <c r="S49" i="1"/>
  <c r="S50" i="1"/>
  <c r="T47" i="1"/>
  <c r="U47" i="1"/>
  <c r="V47" i="1"/>
  <c r="W47" i="1"/>
  <c r="P48" i="1"/>
  <c r="O48" i="1"/>
  <c r="T50" i="1"/>
  <c r="T51" i="1"/>
  <c r="U48" i="1"/>
  <c r="V48" i="1"/>
  <c r="Q49" i="1"/>
  <c r="M49" i="1"/>
  <c r="AM49" i="1" s="1"/>
  <c r="W49" i="1"/>
  <c r="Q50" i="1"/>
  <c r="N50" i="1"/>
  <c r="M50" i="1"/>
  <c r="V51" i="1"/>
  <c r="W50" i="1"/>
  <c r="P51" i="1"/>
  <c r="N51" i="1"/>
  <c r="AN51" i="1" s="1"/>
  <c r="AA66" i="1"/>
  <c r="AA71" i="1"/>
  <c r="AD71" i="1"/>
  <c r="AC71" i="1"/>
  <c r="AD72" i="1"/>
  <c r="AD73" i="1"/>
  <c r="AC73" i="1"/>
  <c r="AD74" i="1"/>
  <c r="AA75" i="1"/>
  <c r="AD75" i="1"/>
  <c r="R16" i="1"/>
  <c r="X11" i="1"/>
  <c r="X12" i="1"/>
  <c r="X13" i="1"/>
  <c r="X14" i="1"/>
  <c r="X15" i="1"/>
  <c r="R22" i="1"/>
  <c r="X17" i="1"/>
  <c r="X18" i="1"/>
  <c r="X19" i="1"/>
  <c r="X20" i="1"/>
  <c r="X21" i="1"/>
  <c r="R28" i="1"/>
  <c r="X23" i="1"/>
  <c r="X24" i="1"/>
  <c r="X25" i="1"/>
  <c r="X26" i="1"/>
  <c r="X27" i="1"/>
  <c r="AA70" i="1"/>
  <c r="Z70" i="1"/>
  <c r="AD70" i="1"/>
  <c r="AC70" i="1"/>
  <c r="D70" i="1"/>
  <c r="AF70" i="1" s="1"/>
  <c r="D76" i="1"/>
  <c r="AF76" i="1" s="1"/>
  <c r="D81" i="1"/>
  <c r="AF81" i="1" s="1"/>
  <c r="D82" i="1"/>
  <c r="AF82" i="1" s="1"/>
  <c r="AA83" i="1"/>
  <c r="Z83" i="1"/>
  <c r="AD83" i="1"/>
  <c r="AC83" i="1"/>
  <c r="D83" i="1"/>
  <c r="AF83" i="1" s="1"/>
  <c r="AA84" i="1"/>
  <c r="Z84" i="1"/>
  <c r="AD84" i="1"/>
  <c r="AC84" i="1"/>
  <c r="D84" i="1"/>
  <c r="AF84" i="1" s="1"/>
  <c r="AA85" i="1"/>
  <c r="Z85" i="1"/>
  <c r="AD85" i="1"/>
  <c r="AC85" i="1"/>
  <c r="D85" i="1"/>
  <c r="AF85" i="1" s="1"/>
  <c r="AA86" i="1"/>
  <c r="Z86" i="1"/>
  <c r="AD86" i="1"/>
  <c r="AC86" i="1"/>
  <c r="D86" i="1"/>
  <c r="AF86" i="1" s="1"/>
  <c r="D87" i="1"/>
  <c r="AF87" i="1" s="1"/>
  <c r="D88" i="1"/>
  <c r="AF88" i="1" s="1"/>
  <c r="D89" i="1"/>
  <c r="AF89" i="1" s="1"/>
  <c r="D90" i="1"/>
  <c r="AF90" i="1" s="1"/>
  <c r="D91" i="1"/>
  <c r="AF91" i="1" s="1"/>
  <c r="D92" i="1"/>
  <c r="AF92" i="1" s="1"/>
  <c r="D93" i="1"/>
  <c r="AF93" i="1" s="1"/>
  <c r="D94" i="1"/>
  <c r="AF94" i="1" s="1"/>
  <c r="D95" i="1"/>
  <c r="AF95" i="1" s="1"/>
  <c r="D96" i="1"/>
  <c r="AF96" i="1" s="1"/>
  <c r="D97" i="1"/>
  <c r="AF97" i="1" s="1"/>
  <c r="D98" i="1"/>
  <c r="AF98" i="1" s="1"/>
  <c r="D99" i="1"/>
  <c r="AF99" i="1" s="1"/>
  <c r="A54" i="9"/>
  <c r="A55" i="9"/>
  <c r="A56" i="11" s="1"/>
  <c r="L56" i="11" s="1"/>
  <c r="A56" i="9"/>
  <c r="A57" i="11" s="1"/>
  <c r="L57" i="11" s="1"/>
  <c r="A57" i="9"/>
  <c r="A58" i="9"/>
  <c r="A59" i="9"/>
  <c r="A60" i="11" s="1"/>
  <c r="A60" i="9"/>
  <c r="A61" i="11" s="1"/>
  <c r="A61" i="9"/>
  <c r="A62" i="11" s="1"/>
  <c r="A62" i="9"/>
  <c r="A63" i="11" s="1"/>
  <c r="A63" i="9"/>
  <c r="A64" i="11" s="1"/>
  <c r="A64" i="9"/>
  <c r="A65" i="11" s="1"/>
  <c r="A65" i="9"/>
  <c r="A66" i="11" s="1"/>
  <c r="A66" i="9"/>
  <c r="A67" i="11" s="1"/>
  <c r="A67" i="9"/>
  <c r="A68" i="11" s="1"/>
  <c r="A68" i="9"/>
  <c r="A69" i="11" s="1"/>
  <c r="A1" i="24"/>
  <c r="D6" i="24"/>
  <c r="L6" i="24"/>
  <c r="D11" i="24"/>
  <c r="L11" i="24"/>
  <c r="D16" i="24"/>
  <c r="L16" i="24"/>
  <c r="A1" i="23"/>
  <c r="D6" i="23"/>
  <c r="L6" i="23"/>
  <c r="D11" i="23"/>
  <c r="L11" i="23"/>
  <c r="D16" i="23"/>
  <c r="L16" i="23"/>
  <c r="D21" i="23"/>
  <c r="L21" i="23"/>
  <c r="D26" i="23"/>
  <c r="L26" i="23"/>
  <c r="L16" i="22"/>
  <c r="D16" i="22"/>
  <c r="L11" i="22"/>
  <c r="D11" i="22"/>
  <c r="L6" i="22"/>
  <c r="D6" i="22"/>
  <c r="L7" i="21"/>
  <c r="D7" i="21"/>
  <c r="A1" i="22"/>
  <c r="L46" i="11"/>
  <c r="L47" i="11"/>
  <c r="L48" i="11"/>
  <c r="L49" i="11"/>
  <c r="L50" i="11"/>
  <c r="L51" i="11"/>
  <c r="L52" i="11"/>
  <c r="L53" i="11"/>
  <c r="L54" i="11"/>
  <c r="U5" i="1"/>
  <c r="Z5" i="1"/>
  <c r="A36" i="9"/>
  <c r="A37" i="11" s="1"/>
  <c r="L37" i="11" s="1"/>
  <c r="A37" i="9"/>
  <c r="A38" i="11" s="1"/>
  <c r="L38" i="11" s="1"/>
  <c r="A38" i="9"/>
  <c r="A39" i="11" s="1"/>
  <c r="L39" i="11" s="1"/>
  <c r="A39" i="9"/>
  <c r="A40" i="11" s="1"/>
  <c r="L40" i="11" s="1"/>
  <c r="A40" i="9"/>
  <c r="A41" i="11" s="1"/>
  <c r="L41" i="11" s="1"/>
  <c r="A41" i="9"/>
  <c r="A42" i="11" s="1"/>
  <c r="L42" i="11" s="1"/>
  <c r="A42" i="9"/>
  <c r="A43" i="11" s="1"/>
  <c r="L43" i="11" s="1"/>
  <c r="A43" i="9"/>
  <c r="A44" i="11" s="1"/>
  <c r="L44" i="11" s="1"/>
  <c r="A44" i="9"/>
  <c r="A45" i="11" s="1"/>
  <c r="L45" i="11" s="1"/>
  <c r="W17" i="1"/>
  <c r="W18" i="1"/>
  <c r="W19" i="1"/>
  <c r="W20" i="1"/>
  <c r="T17" i="1"/>
  <c r="U17" i="1"/>
  <c r="V17" i="1"/>
  <c r="Q17" i="1"/>
  <c r="N17" i="1"/>
  <c r="AN17" i="1" s="1"/>
  <c r="O17" i="1"/>
  <c r="P17" i="1"/>
  <c r="Z17" i="1"/>
  <c r="V18" i="1"/>
  <c r="U18" i="1"/>
  <c r="Q18" i="1"/>
  <c r="P18" i="1"/>
  <c r="AP18" i="1" s="1"/>
  <c r="O18" i="1"/>
  <c r="V19" i="1"/>
  <c r="Q19" i="1"/>
  <c r="AQ19" i="1" s="1"/>
  <c r="P19" i="1"/>
  <c r="Q20" i="1"/>
  <c r="S6" i="1"/>
  <c r="S7" i="1"/>
  <c r="S8" i="1"/>
  <c r="S9" i="1"/>
  <c r="M6" i="1"/>
  <c r="Z6" i="1"/>
  <c r="V7" i="1"/>
  <c r="P7" i="1"/>
  <c r="M7" i="1"/>
  <c r="M8" i="1"/>
  <c r="AP5" i="1" s="1"/>
  <c r="M9" i="1"/>
  <c r="N11" i="1"/>
  <c r="O11" i="1"/>
  <c r="Q11" i="1"/>
  <c r="AQ11" i="1" s="1"/>
  <c r="Z11" i="1"/>
  <c r="T11" i="1"/>
  <c r="U11" i="1"/>
  <c r="W11" i="1"/>
  <c r="W12" i="1"/>
  <c r="Q12" i="1"/>
  <c r="W13" i="1"/>
  <c r="V13" i="1"/>
  <c r="Q13" i="1"/>
  <c r="AQ13" i="1" s="1"/>
  <c r="P13" i="1"/>
  <c r="W14" i="1"/>
  <c r="Q14" i="1"/>
  <c r="AP15" i="1" s="1"/>
  <c r="W29" i="1"/>
  <c r="Q29" i="1"/>
  <c r="W30" i="1"/>
  <c r="Q30" i="1"/>
  <c r="AN33" i="1" s="1"/>
  <c r="W31" i="1"/>
  <c r="Q31" i="1"/>
  <c r="W32" i="1"/>
  <c r="Q32" i="1"/>
  <c r="A35" i="9"/>
  <c r="A36" i="11" s="1"/>
  <c r="L36" i="11" s="1"/>
  <c r="W5" i="1"/>
  <c r="W6" i="1"/>
  <c r="W7" i="1"/>
  <c r="W8" i="1"/>
  <c r="Q5" i="1"/>
  <c r="Q6" i="1"/>
  <c r="Q7" i="1"/>
  <c r="AQ7" i="1" s="1"/>
  <c r="Q8" i="1"/>
  <c r="A5" i="9"/>
  <c r="E27" i="1" s="1"/>
  <c r="A6" i="9"/>
  <c r="A7" i="11" s="1"/>
  <c r="L7" i="11" s="1"/>
  <c r="A7" i="9"/>
  <c r="A8" i="11" s="1"/>
  <c r="L8" i="11" s="1"/>
  <c r="A8" i="9"/>
  <c r="A9" i="11" s="1"/>
  <c r="L9" i="11" s="1"/>
  <c r="A9" i="9"/>
  <c r="A10" i="11" s="1"/>
  <c r="L10" i="11" s="1"/>
  <c r="A10" i="9"/>
  <c r="A11" i="11" s="1"/>
  <c r="L11" i="11" s="1"/>
  <c r="A11" i="9"/>
  <c r="A12" i="11" s="1"/>
  <c r="L12" i="11" s="1"/>
  <c r="A12" i="9"/>
  <c r="A13" i="11" s="1"/>
  <c r="L13" i="11" s="1"/>
  <c r="A13" i="9"/>
  <c r="A14" i="11" s="1"/>
  <c r="L14" i="11" s="1"/>
  <c r="A14" i="9"/>
  <c r="A15" i="11" s="1"/>
  <c r="L15" i="11" s="1"/>
  <c r="A15" i="9"/>
  <c r="A16" i="11" s="1"/>
  <c r="L16" i="11" s="1"/>
  <c r="A16" i="9"/>
  <c r="A17" i="11" s="1"/>
  <c r="L17" i="11" s="1"/>
  <c r="A17" i="9"/>
  <c r="A18" i="11" s="1"/>
  <c r="L18" i="11" s="1"/>
  <c r="A18" i="9"/>
  <c r="A19" i="11" s="1"/>
  <c r="L19" i="11" s="1"/>
  <c r="A19" i="9"/>
  <c r="A20" i="11" s="1"/>
  <c r="L20" i="11" s="1"/>
  <c r="A20" i="9"/>
  <c r="A21" i="11" s="1"/>
  <c r="A21" i="9"/>
  <c r="A22" i="11" s="1"/>
  <c r="L22" i="11" s="1"/>
  <c r="A22" i="9"/>
  <c r="A23" i="11" s="1"/>
  <c r="L23" i="11" s="1"/>
  <c r="A23" i="9"/>
  <c r="A24" i="11" s="1"/>
  <c r="L24" i="11" s="1"/>
  <c r="A24" i="9"/>
  <c r="A25" i="11" s="1"/>
  <c r="L25" i="11" s="1"/>
  <c r="A25" i="9"/>
  <c r="A26" i="11" s="1"/>
  <c r="L26" i="11" s="1"/>
  <c r="A26" i="9"/>
  <c r="A27" i="11" s="1"/>
  <c r="L27" i="11" s="1"/>
  <c r="A27" i="9"/>
  <c r="A28" i="11" s="1"/>
  <c r="L28" i="11" s="1"/>
  <c r="A28" i="9"/>
  <c r="A29" i="11" s="1"/>
  <c r="A29" i="9"/>
  <c r="A30" i="11" s="1"/>
  <c r="L30" i="11" s="1"/>
  <c r="A30" i="9"/>
  <c r="A31" i="11"/>
  <c r="L31" i="11" s="1"/>
  <c r="A31" i="9"/>
  <c r="A32" i="9"/>
  <c r="A33" i="11" s="1"/>
  <c r="L33" i="11" s="1"/>
  <c r="A33" i="9"/>
  <c r="A34" i="9"/>
  <c r="A35" i="11" s="1"/>
  <c r="L35" i="11" s="1"/>
  <c r="A32" i="11"/>
  <c r="L32" i="11" s="1"/>
  <c r="A34" i="11"/>
  <c r="L34" i="11" s="1"/>
  <c r="R5" i="1"/>
  <c r="O6" i="1"/>
  <c r="P6" i="1"/>
  <c r="AP6" i="1" s="1"/>
  <c r="U6" i="1"/>
  <c r="V6" i="1"/>
  <c r="P11" i="1"/>
  <c r="V11" i="1"/>
  <c r="U12" i="1"/>
  <c r="V12" i="1"/>
  <c r="O12" i="1"/>
  <c r="P12" i="1"/>
  <c r="AN14" i="1" s="1"/>
  <c r="N23" i="1"/>
  <c r="O23" i="1"/>
  <c r="P23" i="1"/>
  <c r="Q23" i="1"/>
  <c r="Z23" i="1"/>
  <c r="T23" i="1"/>
  <c r="U23" i="1"/>
  <c r="V23" i="1"/>
  <c r="W23" i="1"/>
  <c r="V25" i="1"/>
  <c r="W25" i="1"/>
  <c r="U24" i="1"/>
  <c r="V24" i="1"/>
  <c r="W24" i="1"/>
  <c r="O24" i="1"/>
  <c r="AO24" i="1" s="1"/>
  <c r="P24" i="1"/>
  <c r="R24" i="1"/>
  <c r="AN28" i="1" s="1"/>
  <c r="Q24" i="1"/>
  <c r="Q25" i="1"/>
  <c r="P25" i="1"/>
  <c r="AP25" i="1" s="1"/>
  <c r="Q26" i="1"/>
  <c r="W26" i="1"/>
  <c r="N29" i="1"/>
  <c r="P29" i="1"/>
  <c r="T29" i="1"/>
  <c r="V29" i="1"/>
  <c r="U30" i="1"/>
  <c r="V30" i="1"/>
  <c r="O30" i="1"/>
  <c r="AO30" i="1" s="1"/>
  <c r="P30" i="1"/>
  <c r="AN32" i="1" s="1"/>
  <c r="V31" i="1"/>
  <c r="P31" i="1"/>
  <c r="R6" i="1"/>
  <c r="AN10" i="1" s="1"/>
  <c r="R7" i="1"/>
  <c r="AR7" i="1" s="1"/>
  <c r="R8" i="1"/>
  <c r="R11" i="1"/>
  <c r="R12" i="1"/>
  <c r="AR12" i="1" s="1"/>
  <c r="R13" i="1"/>
  <c r="AO16" i="1" s="1"/>
  <c r="R14" i="1"/>
  <c r="R17" i="1"/>
  <c r="AM22" i="1" s="1"/>
  <c r="R18" i="1"/>
  <c r="AN22" i="1" s="1"/>
  <c r="R19" i="1"/>
  <c r="R20" i="1"/>
  <c r="R23" i="1"/>
  <c r="R25" i="1"/>
  <c r="R26" i="1"/>
  <c r="AP28" i="1" s="1"/>
  <c r="R29" i="1"/>
  <c r="S34" i="1"/>
  <c r="X29" i="1"/>
  <c r="R30" i="1"/>
  <c r="T34" i="1"/>
  <c r="X30" i="1"/>
  <c r="R31" i="1"/>
  <c r="U34" i="1"/>
  <c r="X31" i="1"/>
  <c r="R32" i="1"/>
  <c r="V34" i="1"/>
  <c r="X32" i="1"/>
  <c r="R35" i="1"/>
  <c r="S40" i="1"/>
  <c r="X35" i="1"/>
  <c r="R36" i="1"/>
  <c r="T40" i="1"/>
  <c r="X36" i="1"/>
  <c r="R37" i="1"/>
  <c r="U40" i="1"/>
  <c r="X37" i="1"/>
  <c r="R38" i="1"/>
  <c r="V40" i="1"/>
  <c r="X38" i="1"/>
  <c r="R41" i="1"/>
  <c r="S46" i="1"/>
  <c r="X41" i="1"/>
  <c r="R42" i="1"/>
  <c r="T46" i="1"/>
  <c r="X42" i="1"/>
  <c r="R43" i="1"/>
  <c r="U46" i="1"/>
  <c r="X43" i="1"/>
  <c r="R44" i="1"/>
  <c r="V46" i="1"/>
  <c r="X44" i="1"/>
  <c r="R47" i="1"/>
  <c r="S52" i="1"/>
  <c r="X47" i="1"/>
  <c r="R48" i="1"/>
  <c r="AR48" i="1" s="1"/>
  <c r="T52" i="1"/>
  <c r="X48" i="1"/>
  <c r="R49" i="1"/>
  <c r="U52" i="1"/>
  <c r="X49" i="1"/>
  <c r="R50" i="1"/>
  <c r="V52" i="1"/>
  <c r="X50" i="1"/>
  <c r="R83" i="1"/>
  <c r="AM88" i="1" s="1"/>
  <c r="Q83" i="1"/>
  <c r="AM87" i="1" s="1"/>
  <c r="P83" i="1"/>
  <c r="AP83" i="1" s="1"/>
  <c r="O83" i="1"/>
  <c r="AO83" i="1" s="1"/>
  <c r="N83" i="1"/>
  <c r="AN83" i="1" s="1"/>
  <c r="S84" i="1"/>
  <c r="S85" i="1"/>
  <c r="S86" i="1"/>
  <c r="S87" i="1"/>
  <c r="S88" i="1"/>
  <c r="T83" i="1"/>
  <c r="U83" i="1"/>
  <c r="V83" i="1"/>
  <c r="W83" i="1"/>
  <c r="X83" i="1"/>
  <c r="R84" i="1"/>
  <c r="AN88" i="1" s="1"/>
  <c r="Q84" i="1"/>
  <c r="AN87" i="1" s="1"/>
  <c r="P84" i="1"/>
  <c r="AN86" i="1" s="1"/>
  <c r="O84" i="1"/>
  <c r="M84" i="1"/>
  <c r="T85" i="1"/>
  <c r="T86" i="1"/>
  <c r="T87" i="1"/>
  <c r="T88" i="1"/>
  <c r="U84" i="1"/>
  <c r="V84" i="1"/>
  <c r="W84" i="1"/>
  <c r="X84" i="1"/>
  <c r="R85" i="1"/>
  <c r="AO88" i="1" s="1"/>
  <c r="Q85" i="1"/>
  <c r="AQ85" i="1" s="1"/>
  <c r="P85" i="1"/>
  <c r="AP85" i="1" s="1"/>
  <c r="N85" i="1"/>
  <c r="M85" i="1"/>
  <c r="U86" i="1"/>
  <c r="U87" i="1"/>
  <c r="U88" i="1"/>
  <c r="V85" i="1"/>
  <c r="W85" i="1"/>
  <c r="X85" i="1"/>
  <c r="R86" i="1"/>
  <c r="AP88" i="1" s="1"/>
  <c r="Q86" i="1"/>
  <c r="AP87" i="1" s="1"/>
  <c r="O86" i="1"/>
  <c r="N86" i="1"/>
  <c r="M86" i="1"/>
  <c r="V87" i="1"/>
  <c r="V88" i="1"/>
  <c r="W86" i="1"/>
  <c r="X86" i="1"/>
  <c r="R89" i="1"/>
  <c r="Q89" i="1"/>
  <c r="AQ89" i="1" s="1"/>
  <c r="P89" i="1"/>
  <c r="AM92" i="1" s="1"/>
  <c r="O89" i="1"/>
  <c r="AO89" i="1" s="1"/>
  <c r="N89" i="1"/>
  <c r="AM90" i="1" s="1"/>
  <c r="AA89" i="1"/>
  <c r="Z89" i="1"/>
  <c r="S90" i="1"/>
  <c r="S91" i="1"/>
  <c r="S92" i="1"/>
  <c r="S93" i="1"/>
  <c r="S94" i="1"/>
  <c r="AD89" i="1"/>
  <c r="AC89" i="1"/>
  <c r="T89" i="1"/>
  <c r="U89" i="1"/>
  <c r="V89" i="1"/>
  <c r="W89" i="1"/>
  <c r="X89" i="1"/>
  <c r="R90" i="1"/>
  <c r="AR90" i="1" s="1"/>
  <c r="Q90" i="1"/>
  <c r="P90" i="1"/>
  <c r="AN92" i="1" s="1"/>
  <c r="O90" i="1"/>
  <c r="M90" i="1"/>
  <c r="AA90" i="1"/>
  <c r="Z90" i="1"/>
  <c r="T91" i="1"/>
  <c r="T92" i="1"/>
  <c r="T93" i="1"/>
  <c r="T94" i="1"/>
  <c r="AD90" i="1"/>
  <c r="AC90" i="1"/>
  <c r="U90" i="1"/>
  <c r="V90" i="1"/>
  <c r="W90" i="1"/>
  <c r="X90" i="1"/>
  <c r="R91" i="1"/>
  <c r="Q91" i="1"/>
  <c r="AQ91" i="1" s="1"/>
  <c r="P91" i="1"/>
  <c r="AO92" i="1" s="1"/>
  <c r="N91" i="1"/>
  <c r="M91" i="1"/>
  <c r="AA91" i="1"/>
  <c r="Z91" i="1"/>
  <c r="U92" i="1"/>
  <c r="U93" i="1"/>
  <c r="U94" i="1"/>
  <c r="AD91" i="1"/>
  <c r="AC91" i="1"/>
  <c r="V91" i="1"/>
  <c r="W91" i="1"/>
  <c r="X91" i="1"/>
  <c r="R92" i="1"/>
  <c r="AP94" i="1" s="1"/>
  <c r="Q92" i="1"/>
  <c r="O92" i="1"/>
  <c r="N92" i="1"/>
  <c r="M92" i="1"/>
  <c r="AA92" i="1"/>
  <c r="Z92" i="1"/>
  <c r="V93" i="1"/>
  <c r="V94" i="1"/>
  <c r="AD92" i="1"/>
  <c r="AC92" i="1"/>
  <c r="W92" i="1"/>
  <c r="X92" i="1"/>
  <c r="R95" i="1"/>
  <c r="Q95" i="1"/>
  <c r="AQ95" i="1" s="1"/>
  <c r="P95" i="1"/>
  <c r="AM98" i="1" s="1"/>
  <c r="O95" i="1"/>
  <c r="N95" i="1"/>
  <c r="AN95" i="1" s="1"/>
  <c r="AA95" i="1"/>
  <c r="Z95" i="1"/>
  <c r="S96" i="1"/>
  <c r="S97" i="1"/>
  <c r="S98" i="1"/>
  <c r="AD95" i="1"/>
  <c r="AC95" i="1"/>
  <c r="T95" i="1"/>
  <c r="U95" i="1"/>
  <c r="V95" i="1"/>
  <c r="W95" i="1"/>
  <c r="X95" i="1"/>
  <c r="R96" i="1"/>
  <c r="AN100" i="1" s="1"/>
  <c r="Q96" i="1"/>
  <c r="AQ96" i="1" s="1"/>
  <c r="P96" i="1"/>
  <c r="AP96" i="1" s="1"/>
  <c r="O96" i="1"/>
  <c r="M96" i="1"/>
  <c r="AA96" i="1"/>
  <c r="Z96" i="1"/>
  <c r="T97" i="1"/>
  <c r="T98" i="1"/>
  <c r="AD96" i="1"/>
  <c r="AC96" i="1"/>
  <c r="U96" i="1"/>
  <c r="V96" i="1"/>
  <c r="W96" i="1"/>
  <c r="X96" i="1"/>
  <c r="R97" i="1"/>
  <c r="AO100" i="1" s="1"/>
  <c r="Q97" i="1"/>
  <c r="AQ97" i="1" s="1"/>
  <c r="P97" i="1"/>
  <c r="AO98" i="1" s="1"/>
  <c r="N97" i="1"/>
  <c r="M97" i="1"/>
  <c r="AA97" i="1"/>
  <c r="Z97" i="1"/>
  <c r="U98" i="1"/>
  <c r="AD97" i="1"/>
  <c r="AC97" i="1"/>
  <c r="V97" i="1"/>
  <c r="W97" i="1"/>
  <c r="X97" i="1"/>
  <c r="R98" i="1"/>
  <c r="Q98" i="1"/>
  <c r="AQ98" i="1" s="1"/>
  <c r="O98" i="1"/>
  <c r="N98" i="1"/>
  <c r="M98" i="1"/>
  <c r="AA98" i="1"/>
  <c r="Z98" i="1"/>
  <c r="AD98" i="1"/>
  <c r="AC98" i="1"/>
  <c r="W98" i="1"/>
  <c r="X98" i="1"/>
  <c r="A2" i="20"/>
  <c r="A1" i="20"/>
  <c r="G3" i="11"/>
  <c r="A3" i="11"/>
  <c r="A2" i="11"/>
  <c r="A1" i="11"/>
  <c r="B864" i="17"/>
  <c r="B865" i="17"/>
  <c r="B863" i="17"/>
  <c r="B807" i="17"/>
  <c r="B808" i="17"/>
  <c r="B806" i="17"/>
  <c r="B750" i="17"/>
  <c r="B751" i="17"/>
  <c r="B749" i="17"/>
  <c r="B693" i="17"/>
  <c r="B694" i="17"/>
  <c r="B692" i="17"/>
  <c r="B636" i="17"/>
  <c r="B637" i="17"/>
  <c r="B635" i="17"/>
  <c r="B579" i="17"/>
  <c r="B580" i="17"/>
  <c r="B578" i="17"/>
  <c r="B522" i="17"/>
  <c r="B523" i="17"/>
  <c r="B521" i="17"/>
  <c r="B465" i="17"/>
  <c r="B466" i="17"/>
  <c r="B464" i="17"/>
  <c r="B408" i="17"/>
  <c r="B409" i="17"/>
  <c r="B407" i="17"/>
  <c r="B351" i="17"/>
  <c r="B352" i="17"/>
  <c r="B350" i="17"/>
  <c r="B294" i="17"/>
  <c r="B295" i="17"/>
  <c r="B293" i="17"/>
  <c r="B237" i="17"/>
  <c r="B238" i="17"/>
  <c r="B236" i="17"/>
  <c r="B180" i="17"/>
  <c r="B181" i="17"/>
  <c r="B179" i="17"/>
  <c r="B123" i="17"/>
  <c r="B124" i="17"/>
  <c r="B122" i="17"/>
  <c r="B66" i="17"/>
  <c r="B67" i="17"/>
  <c r="B65" i="17"/>
  <c r="B9" i="17"/>
  <c r="B10" i="17"/>
  <c r="B8" i="17"/>
  <c r="K858" i="17"/>
  <c r="A858" i="17"/>
  <c r="K801" i="17"/>
  <c r="A801" i="17"/>
  <c r="K744" i="17"/>
  <c r="A744" i="17"/>
  <c r="K687" i="17"/>
  <c r="A687" i="17"/>
  <c r="K630" i="17"/>
  <c r="A630" i="17"/>
  <c r="K573" i="17"/>
  <c r="A573" i="17"/>
  <c r="K516" i="17"/>
  <c r="A516" i="17"/>
  <c r="K459" i="17"/>
  <c r="A459" i="17"/>
  <c r="K402" i="17"/>
  <c r="A402" i="17"/>
  <c r="K345" i="17"/>
  <c r="A345" i="17"/>
  <c r="K288" i="17"/>
  <c r="A288" i="17"/>
  <c r="K231" i="17"/>
  <c r="A231" i="17"/>
  <c r="K174" i="17"/>
  <c r="A174" i="17"/>
  <c r="K117" i="17"/>
  <c r="A117" i="17"/>
  <c r="K60" i="17"/>
  <c r="A60" i="17"/>
  <c r="A98" i="1"/>
  <c r="B862" i="17"/>
  <c r="A97" i="1"/>
  <c r="B861" i="17"/>
  <c r="A96" i="1"/>
  <c r="B860" i="17"/>
  <c r="A860" i="17"/>
  <c r="A94" i="1"/>
  <c r="A93" i="1"/>
  <c r="A92" i="1"/>
  <c r="B805" i="17"/>
  <c r="A91" i="1"/>
  <c r="F41" i="26" s="1"/>
  <c r="B804" i="17"/>
  <c r="A90" i="1"/>
  <c r="B803" i="17"/>
  <c r="A803" i="17"/>
  <c r="A88" i="1"/>
  <c r="A87" i="1"/>
  <c r="A86" i="1"/>
  <c r="B748" i="17"/>
  <c r="A85" i="1"/>
  <c r="F35" i="26" s="1"/>
  <c r="B747" i="17"/>
  <c r="A84" i="1"/>
  <c r="B746" i="17"/>
  <c r="A746" i="17"/>
  <c r="A82" i="1"/>
  <c r="A81" i="1"/>
  <c r="A80" i="1"/>
  <c r="B691" i="17"/>
  <c r="A79" i="1"/>
  <c r="B690" i="17"/>
  <c r="A78" i="1"/>
  <c r="B689" i="17"/>
  <c r="A689" i="17"/>
  <c r="A76" i="1"/>
  <c r="A75" i="1"/>
  <c r="A74" i="1"/>
  <c r="B634" i="17"/>
  <c r="A73" i="1"/>
  <c r="B633" i="17"/>
  <c r="A72" i="1"/>
  <c r="B632" i="17"/>
  <c r="A632" i="17"/>
  <c r="A70" i="1"/>
  <c r="F20" i="26" s="1"/>
  <c r="A69" i="1"/>
  <c r="A68" i="1"/>
  <c r="B577" i="17"/>
  <c r="A67" i="1"/>
  <c r="B576" i="17"/>
  <c r="A66" i="1"/>
  <c r="B575" i="17"/>
  <c r="A575" i="17"/>
  <c r="K3" i="17"/>
  <c r="A3" i="17"/>
  <c r="A2" i="17"/>
  <c r="A1" i="17"/>
  <c r="A3" i="1"/>
  <c r="A2" i="1"/>
  <c r="AB3" i="1"/>
  <c r="E2" i="9"/>
  <c r="A60" i="1"/>
  <c r="A61" i="1"/>
  <c r="A62" i="1"/>
  <c r="F12" i="26" s="1"/>
  <c r="A63" i="1"/>
  <c r="F13" i="26" s="1"/>
  <c r="A64" i="1"/>
  <c r="A54" i="1"/>
  <c r="S99" i="1"/>
  <c r="S100" i="1"/>
  <c r="T99" i="1"/>
  <c r="T100" i="1"/>
  <c r="U99" i="1"/>
  <c r="U100" i="1"/>
  <c r="V99" i="1"/>
  <c r="V100" i="1"/>
  <c r="M64" i="1"/>
  <c r="N64" i="1"/>
  <c r="O64" i="1"/>
  <c r="P64" i="1"/>
  <c r="Q64" i="1"/>
  <c r="R64" i="1"/>
  <c r="Z64" i="1"/>
  <c r="AA64" i="1"/>
  <c r="AC64" i="1"/>
  <c r="AD64" i="1"/>
  <c r="A30" i="1"/>
  <c r="A28" i="26" s="1"/>
  <c r="A31" i="1"/>
  <c r="A29" i="26" s="1"/>
  <c r="A32" i="1"/>
  <c r="A30" i="26" s="1"/>
  <c r="A33" i="1"/>
  <c r="A34" i="1"/>
  <c r="R21" i="1"/>
  <c r="R27" i="1"/>
  <c r="R33" i="1"/>
  <c r="W34" i="1"/>
  <c r="X33" i="1"/>
  <c r="R34" i="1"/>
  <c r="Q34" i="1"/>
  <c r="P34" i="1"/>
  <c r="O34" i="1"/>
  <c r="N34" i="1"/>
  <c r="M34" i="1"/>
  <c r="Z34" i="1"/>
  <c r="R39" i="1"/>
  <c r="W40" i="1"/>
  <c r="X39" i="1"/>
  <c r="R40" i="1"/>
  <c r="Q40" i="1"/>
  <c r="P40" i="1"/>
  <c r="O40" i="1"/>
  <c r="N40" i="1"/>
  <c r="M40" i="1"/>
  <c r="Z40" i="1"/>
  <c r="R45" i="1"/>
  <c r="W46" i="1"/>
  <c r="X45" i="1"/>
  <c r="R46" i="1"/>
  <c r="Q46" i="1"/>
  <c r="P46" i="1"/>
  <c r="O46" i="1"/>
  <c r="N46" i="1"/>
  <c r="M46" i="1"/>
  <c r="Z46" i="1"/>
  <c r="R51" i="1"/>
  <c r="W52" i="1"/>
  <c r="X51" i="1"/>
  <c r="R52" i="1"/>
  <c r="Q52" i="1"/>
  <c r="AQ52" i="1" s="1"/>
  <c r="P52" i="1"/>
  <c r="O52" i="1"/>
  <c r="N52" i="1"/>
  <c r="M52" i="1"/>
  <c r="Z52" i="1"/>
  <c r="R58" i="1"/>
  <c r="Q58" i="1"/>
  <c r="P58" i="1"/>
  <c r="O58" i="1"/>
  <c r="N58" i="1"/>
  <c r="M58" i="1"/>
  <c r="Z58" i="1"/>
  <c r="R76" i="1"/>
  <c r="Q76" i="1"/>
  <c r="P76" i="1"/>
  <c r="O76" i="1"/>
  <c r="N76" i="1"/>
  <c r="M76" i="1"/>
  <c r="AA76" i="1"/>
  <c r="Z76" i="1"/>
  <c r="AD76" i="1"/>
  <c r="AC76" i="1"/>
  <c r="AA81" i="1"/>
  <c r="Z81" i="1"/>
  <c r="AD81" i="1"/>
  <c r="AC81" i="1"/>
  <c r="AA82" i="1"/>
  <c r="Z82" i="1"/>
  <c r="AD82" i="1"/>
  <c r="AC82" i="1"/>
  <c r="AA87" i="1"/>
  <c r="Z87" i="1"/>
  <c r="AD87" i="1"/>
  <c r="AC87" i="1"/>
  <c r="AA88" i="1"/>
  <c r="Z88" i="1"/>
  <c r="AD88" i="1"/>
  <c r="AC88" i="1"/>
  <c r="AA93" i="1"/>
  <c r="Z93" i="1"/>
  <c r="AD93" i="1"/>
  <c r="AC93" i="1"/>
  <c r="AA94" i="1"/>
  <c r="Z94" i="1"/>
  <c r="AD94" i="1"/>
  <c r="AC94" i="1"/>
  <c r="AA99" i="1"/>
  <c r="Z99" i="1"/>
  <c r="AD99" i="1"/>
  <c r="AC99" i="1"/>
  <c r="AA100" i="1"/>
  <c r="Z100" i="1"/>
  <c r="AD100" i="1"/>
  <c r="AC100" i="1"/>
  <c r="R9" i="1"/>
  <c r="AQ10" i="1" s="1"/>
  <c r="R15" i="1"/>
  <c r="A58" i="1"/>
  <c r="A57" i="1"/>
  <c r="A56" i="1"/>
  <c r="A55" i="1"/>
  <c r="A52" i="1"/>
  <c r="A51" i="1"/>
  <c r="A50" i="1"/>
  <c r="A49" i="1"/>
  <c r="A48" i="1"/>
  <c r="A46" i="1"/>
  <c r="A45" i="1"/>
  <c r="A44" i="1"/>
  <c r="A43" i="1"/>
  <c r="A42" i="1"/>
  <c r="A40" i="1"/>
  <c r="A39" i="1"/>
  <c r="A38" i="1"/>
  <c r="A37" i="1"/>
  <c r="A36" i="1"/>
  <c r="A28" i="1"/>
  <c r="A27" i="1"/>
  <c r="A26" i="1"/>
  <c r="A25" i="1"/>
  <c r="A24" i="1"/>
  <c r="A22" i="1"/>
  <c r="A21" i="1"/>
  <c r="A20" i="1"/>
  <c r="A19" i="1"/>
  <c r="A17" i="26" s="1"/>
  <c r="A18" i="1"/>
  <c r="A16" i="1"/>
  <c r="A15" i="1"/>
  <c r="A14" i="1"/>
  <c r="A13" i="1"/>
  <c r="A12" i="1"/>
  <c r="B520" i="17"/>
  <c r="B519" i="17"/>
  <c r="B518" i="17"/>
  <c r="A518" i="17"/>
  <c r="B463" i="17"/>
  <c r="B462" i="17"/>
  <c r="B461" i="17"/>
  <c r="A461" i="17"/>
  <c r="B406" i="17"/>
  <c r="B405" i="17"/>
  <c r="B404" i="17"/>
  <c r="A404" i="17"/>
  <c r="B349" i="17"/>
  <c r="B348" i="17"/>
  <c r="B347" i="17"/>
  <c r="A347" i="17"/>
  <c r="B292" i="17"/>
  <c r="B291" i="17"/>
  <c r="B290" i="17"/>
  <c r="A290" i="17"/>
  <c r="B235" i="17"/>
  <c r="B234" i="17"/>
  <c r="B233" i="17"/>
  <c r="A233" i="17"/>
  <c r="B178" i="17"/>
  <c r="B177" i="17"/>
  <c r="B176" i="17"/>
  <c r="A176" i="17"/>
  <c r="B121" i="17"/>
  <c r="B120" i="17"/>
  <c r="B119" i="17"/>
  <c r="A119" i="17"/>
  <c r="B64" i="17"/>
  <c r="B63" i="17"/>
  <c r="B62" i="17"/>
  <c r="A62" i="17"/>
  <c r="A10" i="1"/>
  <c r="A9" i="1"/>
  <c r="A8" i="1"/>
  <c r="A7" i="1"/>
  <c r="A6" i="1"/>
  <c r="B7" i="17"/>
  <c r="B6" i="17"/>
  <c r="B5" i="17"/>
  <c r="A5" i="17"/>
  <c r="R10" i="1"/>
  <c r="W100" i="1"/>
  <c r="X99" i="1"/>
  <c r="X93" i="1"/>
  <c r="W88" i="1"/>
  <c r="X87" i="1"/>
  <c r="W82" i="1"/>
  <c r="X81" i="1"/>
  <c r="R99" i="1"/>
  <c r="AR99" i="1" s="1"/>
  <c r="Q100" i="1"/>
  <c r="AQ100" i="1"/>
  <c r="P100" i="1"/>
  <c r="O100" i="1"/>
  <c r="N100" i="1"/>
  <c r="M100" i="1"/>
  <c r="P99" i="1"/>
  <c r="AP99" i="1"/>
  <c r="O99" i="1"/>
  <c r="N99" i="1"/>
  <c r="M99" i="1"/>
  <c r="AM96" i="1"/>
  <c r="R93" i="1"/>
  <c r="AR93" i="1" s="1"/>
  <c r="Q94" i="1"/>
  <c r="P94" i="1"/>
  <c r="O94" i="1"/>
  <c r="N94" i="1"/>
  <c r="M94" i="1"/>
  <c r="P93" i="1"/>
  <c r="O93" i="1"/>
  <c r="N93" i="1"/>
  <c r="M93" i="1"/>
  <c r="AR92" i="1"/>
  <c r="AP90" i="1"/>
  <c r="R87" i="1"/>
  <c r="AR87" i="1" s="1"/>
  <c r="Q88" i="1"/>
  <c r="P88" i="1"/>
  <c r="O88" i="1"/>
  <c r="N88" i="1"/>
  <c r="M88" i="1"/>
  <c r="P87" i="1"/>
  <c r="O87" i="1"/>
  <c r="N87" i="1"/>
  <c r="M87" i="1"/>
  <c r="AP84" i="1"/>
  <c r="R81" i="1"/>
  <c r="Q82" i="1"/>
  <c r="P82" i="1"/>
  <c r="O82" i="1"/>
  <c r="N82" i="1"/>
  <c r="AN82" i="1"/>
  <c r="M82" i="1"/>
  <c r="P81" i="1"/>
  <c r="O81" i="1"/>
  <c r="N81" i="1"/>
  <c r="M81" i="1"/>
  <c r="AR80" i="1"/>
  <c r="AR79" i="1"/>
  <c r="AP79" i="1"/>
  <c r="AM79" i="1"/>
  <c r="AR77" i="1"/>
  <c r="AO76" i="1"/>
  <c r="AM75" i="1"/>
  <c r="AP73" i="1"/>
  <c r="AR72" i="1"/>
  <c r="AQ71" i="1"/>
  <c r="Q70" i="1"/>
  <c r="AQ70" i="1" s="1"/>
  <c r="P70" i="1"/>
  <c r="O70" i="1"/>
  <c r="AO70" i="1" s="1"/>
  <c r="N70" i="1"/>
  <c r="M70" i="1"/>
  <c r="AN67" i="1"/>
  <c r="AQ55" i="1"/>
  <c r="AO12" i="1"/>
  <c r="R100" i="1"/>
  <c r="R94" i="1"/>
  <c r="R88" i="1"/>
  <c r="R82" i="1"/>
  <c r="R70" i="1"/>
  <c r="A100" i="1"/>
  <c r="A99" i="1"/>
  <c r="A1" i="1"/>
  <c r="AC80" i="1"/>
  <c r="L29" i="11"/>
  <c r="L21" i="11"/>
  <c r="F30" i="1"/>
  <c r="E44" i="1"/>
  <c r="AD79" i="1"/>
  <c r="AC79" i="1"/>
  <c r="AD77" i="1"/>
  <c r="AD78" i="1"/>
  <c r="AD80" i="1"/>
  <c r="AC77" i="1"/>
  <c r="D78" i="1"/>
  <c r="AF78" i="1" s="1"/>
  <c r="D77" i="1"/>
  <c r="AF77" i="1" s="1"/>
  <c r="D80" i="1"/>
  <c r="AF80" i="1" s="1"/>
  <c r="D79" i="1"/>
  <c r="AF79" i="1" s="1"/>
  <c r="C4" i="25"/>
  <c r="AA4" i="25" s="1"/>
  <c r="B4" i="25" s="1"/>
  <c r="C3" i="25"/>
  <c r="Z3" i="25" s="1"/>
  <c r="A3" i="25" s="1"/>
  <c r="Z4" i="25"/>
  <c r="A4" i="25" s="1"/>
  <c r="D71" i="1"/>
  <c r="AF71" i="1" s="1"/>
  <c r="D75" i="1"/>
  <c r="AF75" i="1" s="1"/>
  <c r="D73" i="1"/>
  <c r="AF73" i="1" s="1"/>
  <c r="D74" i="1"/>
  <c r="AF74" i="1" s="1"/>
  <c r="D72" i="1"/>
  <c r="AF72" i="1" s="1"/>
  <c r="C9" i="25"/>
  <c r="AA9" i="25" s="1"/>
  <c r="B9" i="25" s="1"/>
  <c r="C8" i="25"/>
  <c r="AA8" i="25" s="1"/>
  <c r="B8" i="25" s="1"/>
  <c r="AR26" i="1"/>
  <c r="AA3" i="25"/>
  <c r="B3" i="25" s="1"/>
  <c r="AQ47" i="1" l="1"/>
  <c r="AO32" i="1"/>
  <c r="AP42" i="1"/>
  <c r="AO35" i="1"/>
  <c r="E50" i="1"/>
  <c r="D407" i="17" s="1"/>
  <c r="F48" i="1"/>
  <c r="D46" i="26" s="1"/>
  <c r="F38" i="1"/>
  <c r="D36" i="26" s="1"/>
  <c r="F23" i="1"/>
  <c r="C23" i="1" s="1"/>
  <c r="C176" i="17" s="1"/>
  <c r="F24" i="1"/>
  <c r="E57" i="1"/>
  <c r="H7" i="26" s="1"/>
  <c r="F9" i="1"/>
  <c r="D7" i="26" s="1"/>
  <c r="F50" i="1"/>
  <c r="D48" i="26" s="1"/>
  <c r="E6" i="1"/>
  <c r="C4" i="26" s="1"/>
  <c r="F13" i="1"/>
  <c r="E64" i="17" s="1"/>
  <c r="F26" i="1"/>
  <c r="D24" i="26" s="1"/>
  <c r="F7" i="1"/>
  <c r="D5" i="26" s="1"/>
  <c r="E98" i="1"/>
  <c r="D863" i="17" s="1"/>
  <c r="F35" i="1"/>
  <c r="E290" i="17" s="1"/>
  <c r="F33" i="1"/>
  <c r="D31" i="26" s="1"/>
  <c r="E31" i="1"/>
  <c r="D235" i="17" s="1"/>
  <c r="F14" i="1"/>
  <c r="D12" i="26" s="1"/>
  <c r="F51" i="1"/>
  <c r="D49" i="26" s="1"/>
  <c r="E18" i="1"/>
  <c r="C16" i="26" s="1"/>
  <c r="E19" i="1"/>
  <c r="C17" i="26" s="1"/>
  <c r="F49" i="1"/>
  <c r="D47" i="26" s="1"/>
  <c r="F5" i="1"/>
  <c r="C5" i="1" s="1"/>
  <c r="C5" i="17" s="1"/>
  <c r="E20" i="1"/>
  <c r="C18" i="26" s="1"/>
  <c r="E32" i="1"/>
  <c r="D236" i="17" s="1"/>
  <c r="E33" i="1"/>
  <c r="C31" i="26" s="1"/>
  <c r="F19" i="1"/>
  <c r="C19" i="1" s="1"/>
  <c r="C121" i="17" s="1"/>
  <c r="AE85" i="1"/>
  <c r="L67" i="11"/>
  <c r="J67" i="11"/>
  <c r="L65" i="11"/>
  <c r="J65" i="11"/>
  <c r="L66" i="11"/>
  <c r="J66" i="11"/>
  <c r="J64" i="11"/>
  <c r="L64" i="11"/>
  <c r="L69" i="11"/>
  <c r="J69" i="11"/>
  <c r="L63" i="11"/>
  <c r="J63" i="11"/>
  <c r="L61" i="11"/>
  <c r="J61" i="11"/>
  <c r="AN39" i="1"/>
  <c r="AD5" i="1"/>
  <c r="AC5" i="1"/>
  <c r="L68" i="11"/>
  <c r="J68" i="11"/>
  <c r="L62" i="11"/>
  <c r="J62" i="11"/>
  <c r="L60" i="11"/>
  <c r="J60" i="11"/>
  <c r="F62" i="1"/>
  <c r="I12" i="26" s="1"/>
  <c r="AQ74" i="1"/>
  <c r="AR75" i="1"/>
  <c r="AO93" i="1"/>
  <c r="AM99" i="1"/>
  <c r="AR21" i="1"/>
  <c r="AB91" i="1"/>
  <c r="AN13" i="1"/>
  <c r="AN7" i="1"/>
  <c r="AP9" i="1"/>
  <c r="AN9" i="1"/>
  <c r="AR85" i="1"/>
  <c r="AR97" i="1"/>
  <c r="AM25" i="1"/>
  <c r="AR5" i="1"/>
  <c r="AN19" i="1"/>
  <c r="AQ18" i="1"/>
  <c r="AO42" i="1"/>
  <c r="AM44" i="1"/>
  <c r="AQ36" i="1"/>
  <c r="AQ38" i="1"/>
  <c r="AQ86" i="1"/>
  <c r="AP70" i="1"/>
  <c r="AO71" i="1"/>
  <c r="AP72" i="1"/>
  <c r="AR74" i="1"/>
  <c r="AO75" i="1"/>
  <c r="AN77" i="1"/>
  <c r="AO81" i="1"/>
  <c r="AN89" i="1"/>
  <c r="AP91" i="1"/>
  <c r="AN94" i="1"/>
  <c r="AR96" i="1"/>
  <c r="AN98" i="1"/>
  <c r="AR24" i="1"/>
  <c r="AO10" i="1"/>
  <c r="AM64" i="1"/>
  <c r="AO72" i="1"/>
  <c r="AQ72" i="1"/>
  <c r="AO78" i="1"/>
  <c r="AN80" i="1"/>
  <c r="AM81" i="1"/>
  <c r="AQ83" i="1"/>
  <c r="AM85" i="1"/>
  <c r="AR86" i="1"/>
  <c r="AM91" i="1"/>
  <c r="AP95" i="1"/>
  <c r="AP97" i="1"/>
  <c r="AB99" i="1"/>
  <c r="AB94" i="1"/>
  <c r="AR42" i="1"/>
  <c r="AP46" i="1"/>
  <c r="AR30" i="1"/>
  <c r="A805" i="17"/>
  <c r="AB98" i="1"/>
  <c r="AB97" i="1"/>
  <c r="AB96" i="1"/>
  <c r="AM34" i="1"/>
  <c r="AR14" i="1"/>
  <c r="AR8" i="1"/>
  <c r="AM30" i="1"/>
  <c r="AQ26" i="1"/>
  <c r="AA24" i="1"/>
  <c r="AB24" i="1" s="1"/>
  <c r="AC7" i="1"/>
  <c r="AA11" i="1"/>
  <c r="AB11" i="1" s="1"/>
  <c r="AD16" i="1"/>
  <c r="AQ50" i="1"/>
  <c r="AP45" i="1"/>
  <c r="AO45" i="1"/>
  <c r="AO38" i="1"/>
  <c r="AN37" i="1"/>
  <c r="AN35" i="1"/>
  <c r="AP23" i="1"/>
  <c r="AM24" i="1"/>
  <c r="AB79" i="1"/>
  <c r="AB78" i="1"/>
  <c r="AD52" i="1"/>
  <c r="AO9" i="1"/>
  <c r="AQ84" i="1"/>
  <c r="AR56" i="1"/>
  <c r="AP69" i="1"/>
  <c r="AN70" i="1"/>
  <c r="AN71" i="1"/>
  <c r="AP71" i="1"/>
  <c r="AR71" i="1"/>
  <c r="AP77" i="1"/>
  <c r="AQ78" i="1"/>
  <c r="AQ80" i="1"/>
  <c r="AO86" i="1"/>
  <c r="AM93" i="1"/>
  <c r="AQ16" i="1"/>
  <c r="AB100" i="1"/>
  <c r="AB87" i="1"/>
  <c r="AB92" i="1"/>
  <c r="AN62" i="1"/>
  <c r="AA10" i="1"/>
  <c r="AB10" i="1" s="1"/>
  <c r="AR83" i="1"/>
  <c r="AM10" i="1"/>
  <c r="AR44" i="1"/>
  <c r="AM84" i="1"/>
  <c r="AR84" i="1"/>
  <c r="AM86" i="1"/>
  <c r="AO87" i="1"/>
  <c r="AP89" i="1"/>
  <c r="AN99" i="1"/>
  <c r="AO99" i="1"/>
  <c r="A521" i="17"/>
  <c r="AB93" i="1"/>
  <c r="AB88" i="1"/>
  <c r="AB82" i="1"/>
  <c r="AR51" i="1"/>
  <c r="A862" i="17"/>
  <c r="F47" i="26"/>
  <c r="AR98" i="1"/>
  <c r="AP100" i="1"/>
  <c r="AN97" i="1"/>
  <c r="AO96" i="1"/>
  <c r="AO95" i="1"/>
  <c r="AM97" i="1"/>
  <c r="AM100" i="1"/>
  <c r="AR95" i="1"/>
  <c r="AP93" i="1"/>
  <c r="AQ92" i="1"/>
  <c r="AO94" i="1"/>
  <c r="AR91" i="1"/>
  <c r="AN91" i="1"/>
  <c r="AO90" i="1"/>
  <c r="AN93" i="1"/>
  <c r="AQ90" i="1"/>
  <c r="AM94" i="1"/>
  <c r="AR89" i="1"/>
  <c r="AM40" i="1"/>
  <c r="AR35" i="1"/>
  <c r="AD34" i="1"/>
  <c r="E5" i="1"/>
  <c r="C3" i="26" s="1"/>
  <c r="E55" i="1"/>
  <c r="D463" i="17" s="1"/>
  <c r="E53" i="1"/>
  <c r="D461" i="17" s="1"/>
  <c r="E54" i="1"/>
  <c r="D462" i="17" s="1"/>
  <c r="F54" i="1"/>
  <c r="C54" i="1" s="1"/>
  <c r="F60" i="1"/>
  <c r="I10" i="26" s="1"/>
  <c r="F57" i="1"/>
  <c r="I7" i="26" s="1"/>
  <c r="E34" i="1"/>
  <c r="D238" i="17" s="1"/>
  <c r="E22" i="1"/>
  <c r="D124" i="17" s="1"/>
  <c r="A6" i="11"/>
  <c r="L6" i="11" s="1"/>
  <c r="F25" i="1"/>
  <c r="D23" i="26" s="1"/>
  <c r="F47" i="1"/>
  <c r="D45" i="26" s="1"/>
  <c r="F17" i="1"/>
  <c r="D15" i="26" s="1"/>
  <c r="E30" i="1"/>
  <c r="C28" i="26" s="1"/>
  <c r="E7" i="1"/>
  <c r="C5" i="26" s="1"/>
  <c r="E24" i="1"/>
  <c r="C22" i="26" s="1"/>
  <c r="F21" i="1"/>
  <c r="D19" i="26" s="1"/>
  <c r="E23" i="1"/>
  <c r="C21" i="26" s="1"/>
  <c r="F27" i="1"/>
  <c r="E180" i="17" s="1"/>
  <c r="F6" i="1"/>
  <c r="D4" i="26" s="1"/>
  <c r="F32" i="1"/>
  <c r="D30" i="26" s="1"/>
  <c r="F11" i="1"/>
  <c r="D9" i="26" s="1"/>
  <c r="E48" i="1"/>
  <c r="D405" i="17" s="1"/>
  <c r="AP33" i="1"/>
  <c r="AQ32" i="1"/>
  <c r="AQ12" i="1"/>
  <c r="AN15" i="1"/>
  <c r="AO8" i="1"/>
  <c r="AP7" i="1"/>
  <c r="AM33" i="1"/>
  <c r="AR27" i="1"/>
  <c r="AD10" i="1"/>
  <c r="A18" i="26"/>
  <c r="A122" i="17"/>
  <c r="A804" i="17"/>
  <c r="F40" i="26"/>
  <c r="F46" i="26"/>
  <c r="A861" i="17"/>
  <c r="A863" i="17"/>
  <c r="F48" i="26"/>
  <c r="AQ88" i="1"/>
  <c r="Z8" i="25"/>
  <c r="A8" i="25" s="1"/>
  <c r="A864" i="17"/>
  <c r="F49" i="26"/>
  <c r="AR81" i="1"/>
  <c r="AQ82" i="1"/>
  <c r="F46" i="1"/>
  <c r="D44" i="26" s="1"/>
  <c r="F42" i="26"/>
  <c r="A806" i="17"/>
  <c r="A808" i="17"/>
  <c r="F44" i="26"/>
  <c r="E78" i="1"/>
  <c r="H28" i="26" s="1"/>
  <c r="E83" i="1"/>
  <c r="D746" i="17" s="1"/>
  <c r="AO84" i="1"/>
  <c r="AN85" i="1"/>
  <c r="AB72" i="1"/>
  <c r="A865" i="17"/>
  <c r="F50" i="26"/>
  <c r="AB76" i="1"/>
  <c r="AQ34" i="1"/>
  <c r="A807" i="17"/>
  <c r="F43" i="26"/>
  <c r="AB95" i="1"/>
  <c r="AB90" i="1"/>
  <c r="AB89" i="1"/>
  <c r="AR32" i="1"/>
  <c r="AM6" i="1"/>
  <c r="AN5" i="1"/>
  <c r="AB85" i="1"/>
  <c r="AB84" i="1"/>
  <c r="AB74" i="1"/>
  <c r="AA34" i="1"/>
  <c r="AB34" i="1" s="1"/>
  <c r="Z9" i="25"/>
  <c r="A9" i="25" s="1"/>
  <c r="AC58" i="1"/>
  <c r="AD45" i="1"/>
  <c r="AO46" i="1"/>
  <c r="AO44" i="1"/>
  <c r="AA41" i="1"/>
  <c r="AB41" i="1" s="1"/>
  <c r="AD46" i="1"/>
  <c r="AM46" i="1"/>
  <c r="AM43" i="1"/>
  <c r="AR49" i="1"/>
  <c r="AQ40" i="1"/>
  <c r="AR36" i="1"/>
  <c r="AQ37" i="1"/>
  <c r="AD40" i="1"/>
  <c r="AC23" i="1"/>
  <c r="AC22" i="1"/>
  <c r="AO33" i="1"/>
  <c r="AD31" i="1"/>
  <c r="AN29" i="1"/>
  <c r="AR9" i="1"/>
  <c r="AQ8" i="1"/>
  <c r="AO5" i="1"/>
  <c r="AQ6" i="1"/>
  <c r="AA6" i="1"/>
  <c r="AB6" i="1" s="1"/>
  <c r="AM28" i="1"/>
  <c r="AQ20" i="1"/>
  <c r="AC20" i="1"/>
  <c r="AC18" i="1"/>
  <c r="AM13" i="1"/>
  <c r="AD58" i="1"/>
  <c r="AE58" i="1" s="1"/>
  <c r="AA29" i="1"/>
  <c r="AB29" i="1" s="1"/>
  <c r="AM7" i="1"/>
  <c r="AN8" i="1"/>
  <c r="AP16" i="1"/>
  <c r="AP10" i="1"/>
  <c r="AN16" i="1"/>
  <c r="AO18" i="1"/>
  <c r="AN31" i="1"/>
  <c r="AD39" i="1"/>
  <c r="AD43" i="1"/>
  <c r="AC31" i="1"/>
  <c r="AC11" i="1"/>
  <c r="AD6" i="1"/>
  <c r="AD28" i="1"/>
  <c r="AA28" i="1"/>
  <c r="AB28" i="1" s="1"/>
  <c r="AD22" i="1"/>
  <c r="AE22" i="1" s="1"/>
  <c r="AP47" i="1"/>
  <c r="AM45" i="1"/>
  <c r="AO41" i="1"/>
  <c r="AM37" i="1"/>
  <c r="AQ30" i="1"/>
  <c r="AP27" i="1"/>
  <c r="AN27" i="1"/>
  <c r="AN26" i="1"/>
  <c r="AN25" i="1"/>
  <c r="AR17" i="1"/>
  <c r="AO21" i="1"/>
  <c r="AP17" i="1"/>
  <c r="AC16" i="1"/>
  <c r="AO6" i="1"/>
  <c r="AD7" i="1"/>
  <c r="AR6" i="1"/>
  <c r="AO69" i="1"/>
  <c r="AO63" i="1"/>
  <c r="AM61" i="1"/>
  <c r="AM55" i="1"/>
  <c r="AA54" i="1"/>
  <c r="AB54" i="1" s="1"/>
  <c r="AC54" i="1"/>
  <c r="A235" i="17"/>
  <c r="A636" i="17"/>
  <c r="F25" i="26"/>
  <c r="A690" i="17"/>
  <c r="F28" i="26"/>
  <c r="A691" i="17"/>
  <c r="F29" i="26"/>
  <c r="A692" i="17"/>
  <c r="F30" i="26"/>
  <c r="A694" i="17"/>
  <c r="F32" i="26"/>
  <c r="A749" i="17"/>
  <c r="F36" i="26"/>
  <c r="A751" i="17"/>
  <c r="F38" i="26"/>
  <c r="AB81" i="1"/>
  <c r="A580" i="17"/>
  <c r="A633" i="17"/>
  <c r="F22" i="26"/>
  <c r="A634" i="17"/>
  <c r="F23" i="26"/>
  <c r="A635" i="17"/>
  <c r="F24" i="26"/>
  <c r="A637" i="17"/>
  <c r="F26" i="26"/>
  <c r="A693" i="17"/>
  <c r="F31" i="26"/>
  <c r="A747" i="17"/>
  <c r="F34" i="26"/>
  <c r="A748" i="17"/>
  <c r="A750" i="17"/>
  <c r="F37" i="26"/>
  <c r="AB86" i="1"/>
  <c r="AB70" i="1"/>
  <c r="AB80" i="1"/>
  <c r="AB77" i="1"/>
  <c r="A522" i="17"/>
  <c r="A236" i="17"/>
  <c r="A234" i="17"/>
  <c r="Y74" i="1"/>
  <c r="Y75" i="1"/>
  <c r="Y78" i="1"/>
  <c r="A6" i="17"/>
  <c r="A4" i="26"/>
  <c r="A8" i="17"/>
  <c r="A6" i="26"/>
  <c r="A10" i="17"/>
  <c r="A8" i="26"/>
  <c r="A64" i="17"/>
  <c r="A11" i="26"/>
  <c r="A66" i="17"/>
  <c r="A13" i="26"/>
  <c r="A120" i="17"/>
  <c r="A16" i="26"/>
  <c r="A123" i="17"/>
  <c r="A19" i="26"/>
  <c r="A177" i="17"/>
  <c r="A22" i="26"/>
  <c r="A179" i="17"/>
  <c r="A24" i="26"/>
  <c r="A181" i="17"/>
  <c r="A26" i="26"/>
  <c r="A292" i="17"/>
  <c r="A35" i="26"/>
  <c r="A294" i="17"/>
  <c r="A37" i="26"/>
  <c r="A348" i="17"/>
  <c r="A40" i="26"/>
  <c r="A350" i="17"/>
  <c r="A42" i="26"/>
  <c r="A352" i="17"/>
  <c r="A44" i="26"/>
  <c r="A406" i="17"/>
  <c r="A47" i="26"/>
  <c r="A408" i="17"/>
  <c r="A49" i="26"/>
  <c r="A463" i="17"/>
  <c r="F5" i="26"/>
  <c r="A465" i="17"/>
  <c r="F7" i="26"/>
  <c r="A238" i="17"/>
  <c r="A32" i="26"/>
  <c r="A462" i="17"/>
  <c r="F4" i="26"/>
  <c r="A520" i="17"/>
  <c r="F11" i="26"/>
  <c r="A579" i="17"/>
  <c r="F19" i="26"/>
  <c r="Y99" i="1"/>
  <c r="Y97" i="1"/>
  <c r="Y95" i="1"/>
  <c r="Y93" i="1"/>
  <c r="Y91" i="1"/>
  <c r="Y89" i="1"/>
  <c r="Y87" i="1"/>
  <c r="Y84" i="1"/>
  <c r="Y83" i="1"/>
  <c r="Y81" i="1"/>
  <c r="Y70" i="1"/>
  <c r="Y80" i="1"/>
  <c r="Y72" i="1"/>
  <c r="Y73" i="1"/>
  <c r="Y71" i="1"/>
  <c r="Y79" i="1"/>
  <c r="Y77" i="1"/>
  <c r="A7" i="17"/>
  <c r="A5" i="26"/>
  <c r="A9" i="17"/>
  <c r="A7" i="26"/>
  <c r="A63" i="17"/>
  <c r="A10" i="26"/>
  <c r="A65" i="17"/>
  <c r="A12" i="26"/>
  <c r="A67" i="17"/>
  <c r="A14" i="26"/>
  <c r="A121" i="17"/>
  <c r="A124" i="17"/>
  <c r="A20" i="26"/>
  <c r="A178" i="17"/>
  <c r="A23" i="26"/>
  <c r="A180" i="17"/>
  <c r="A25" i="26"/>
  <c r="A291" i="17"/>
  <c r="A34" i="26"/>
  <c r="A293" i="17"/>
  <c r="A36" i="26"/>
  <c r="A295" i="17"/>
  <c r="A38" i="26"/>
  <c r="A349" i="17"/>
  <c r="A41" i="26"/>
  <c r="A351" i="17"/>
  <c r="A43" i="26"/>
  <c r="A405" i="17"/>
  <c r="A46" i="26"/>
  <c r="A407" i="17"/>
  <c r="A48" i="26"/>
  <c r="A409" i="17"/>
  <c r="A50" i="26"/>
  <c r="A464" i="17"/>
  <c r="F6" i="26"/>
  <c r="A466" i="17"/>
  <c r="F8" i="26"/>
  <c r="A237" i="17"/>
  <c r="A31" i="26"/>
  <c r="A523" i="17"/>
  <c r="F14" i="26"/>
  <c r="A519" i="17"/>
  <c r="F10" i="26"/>
  <c r="A576" i="17"/>
  <c r="F16" i="26"/>
  <c r="A577" i="17"/>
  <c r="F17" i="26"/>
  <c r="A578" i="17"/>
  <c r="F18" i="26"/>
  <c r="Y100" i="1"/>
  <c r="Y98" i="1"/>
  <c r="Y96" i="1"/>
  <c r="Y94" i="1"/>
  <c r="Y92" i="1"/>
  <c r="Y90" i="1"/>
  <c r="Y88" i="1"/>
  <c r="Y86" i="1"/>
  <c r="Y85" i="1"/>
  <c r="Y82" i="1"/>
  <c r="Y76" i="1"/>
  <c r="E71" i="1"/>
  <c r="D632" i="17" s="1"/>
  <c r="F63" i="1"/>
  <c r="C63" i="1" s="1"/>
  <c r="F91" i="1"/>
  <c r="I41" i="26" s="1"/>
  <c r="F59" i="1"/>
  <c r="C59" i="1" s="1"/>
  <c r="F61" i="1"/>
  <c r="E520" i="17" s="1"/>
  <c r="E61" i="1"/>
  <c r="D520" i="17" s="1"/>
  <c r="C48" i="26"/>
  <c r="E237" i="17"/>
  <c r="C9" i="1"/>
  <c r="E65" i="17"/>
  <c r="D350" i="17"/>
  <c r="C42" i="26"/>
  <c r="D120" i="17"/>
  <c r="D6" i="17"/>
  <c r="C24" i="1"/>
  <c r="D22" i="26"/>
  <c r="C49" i="1"/>
  <c r="D122" i="17"/>
  <c r="C30" i="26"/>
  <c r="D180" i="17"/>
  <c r="C25" i="26"/>
  <c r="D237" i="17"/>
  <c r="C7" i="1"/>
  <c r="E234" i="17"/>
  <c r="D28" i="26"/>
  <c r="C57" i="1"/>
  <c r="H48" i="26"/>
  <c r="F95" i="1"/>
  <c r="F39" i="1"/>
  <c r="F37" i="1"/>
  <c r="F36" i="1"/>
  <c r="C30" i="1"/>
  <c r="E177" i="17"/>
  <c r="E14" i="1"/>
  <c r="F45" i="1"/>
  <c r="E43" i="1"/>
  <c r="F31" i="1"/>
  <c r="F20" i="1"/>
  <c r="F8" i="1"/>
  <c r="F43" i="1"/>
  <c r="E349" i="17" s="1"/>
  <c r="E29" i="1"/>
  <c r="E49" i="1"/>
  <c r="E17" i="1"/>
  <c r="E12" i="1"/>
  <c r="E36" i="1"/>
  <c r="E25" i="1"/>
  <c r="E15" i="1"/>
  <c r="F29" i="1"/>
  <c r="E39" i="1"/>
  <c r="F18" i="1"/>
  <c r="E120" i="17" s="1"/>
  <c r="E21" i="1"/>
  <c r="D3" i="26"/>
  <c r="E26" i="1"/>
  <c r="E37" i="1"/>
  <c r="E35" i="1"/>
  <c r="E8" i="1"/>
  <c r="F15" i="1"/>
  <c r="E11" i="1"/>
  <c r="E42" i="1"/>
  <c r="E38" i="1"/>
  <c r="E13" i="1"/>
  <c r="E47" i="1"/>
  <c r="E41" i="1"/>
  <c r="F44" i="1"/>
  <c r="E350" i="17" s="1"/>
  <c r="F42" i="1"/>
  <c r="E9" i="1"/>
  <c r="F12" i="1"/>
  <c r="E45" i="1"/>
  <c r="F41" i="1"/>
  <c r="E347" i="17" s="1"/>
  <c r="E51" i="1"/>
  <c r="E10" i="1"/>
  <c r="E63" i="1"/>
  <c r="E46" i="1"/>
  <c r="F16" i="1"/>
  <c r="D14" i="26" s="1"/>
  <c r="F64" i="1"/>
  <c r="F75" i="1"/>
  <c r="I25" i="26" s="1"/>
  <c r="E76" i="1"/>
  <c r="F81" i="1"/>
  <c r="I31" i="26" s="1"/>
  <c r="E100" i="1"/>
  <c r="F56" i="1"/>
  <c r="E60" i="1"/>
  <c r="E59" i="1"/>
  <c r="F92" i="1"/>
  <c r="I42" i="26" s="1"/>
  <c r="E66" i="1"/>
  <c r="F53" i="1"/>
  <c r="C53" i="1" s="1"/>
  <c r="F89" i="1"/>
  <c r="C89" i="1" s="1"/>
  <c r="E62" i="1"/>
  <c r="E95" i="1"/>
  <c r="E56" i="1"/>
  <c r="E65" i="1"/>
  <c r="E85" i="1"/>
  <c r="F55" i="1"/>
  <c r="I5" i="26" s="1"/>
  <c r="AO66" i="1"/>
  <c r="AA68" i="1"/>
  <c r="AB68" i="1" s="1"/>
  <c r="AD66" i="1"/>
  <c r="AC69" i="1"/>
  <c r="AA69" i="1"/>
  <c r="AB69" i="1" s="1"/>
  <c r="AQ66" i="1"/>
  <c r="AD65" i="1"/>
  <c r="AM69" i="1"/>
  <c r="AO62" i="1"/>
  <c r="AR57" i="1"/>
  <c r="AA58" i="1"/>
  <c r="AB58" i="1" s="1"/>
  <c r="AR55" i="1"/>
  <c r="AR53" i="1"/>
  <c r="AO56" i="1"/>
  <c r="AA57" i="1"/>
  <c r="AB57" i="1" s="1"/>
  <c r="AA52" i="1"/>
  <c r="AB52" i="1" s="1"/>
  <c r="AM50" i="1"/>
  <c r="AC52" i="1"/>
  <c r="AO50" i="1"/>
  <c r="AC46" i="1"/>
  <c r="AR41" i="1"/>
  <c r="AD41" i="1"/>
  <c r="AA46" i="1"/>
  <c r="AB46" i="1" s="1"/>
  <c r="AQ46" i="1"/>
  <c r="AR45" i="1"/>
  <c r="AN41" i="1"/>
  <c r="AN40" i="1"/>
  <c r="AA40" i="1"/>
  <c r="AB40" i="1" s="1"/>
  <c r="AD36" i="1"/>
  <c r="AC40" i="1"/>
  <c r="AP37" i="1"/>
  <c r="AN34" i="1"/>
  <c r="AO34" i="1"/>
  <c r="AD32" i="1"/>
  <c r="AC34" i="1"/>
  <c r="AR33" i="1"/>
  <c r="AR23" i="1"/>
  <c r="AO28" i="1"/>
  <c r="AQ24" i="1"/>
  <c r="AP24" i="1"/>
  <c r="AQ28" i="1"/>
  <c r="AC28" i="1"/>
  <c r="AA22" i="1"/>
  <c r="AB22" i="1" s="1"/>
  <c r="AC21" i="1"/>
  <c r="AP22" i="1"/>
  <c r="AD20" i="1"/>
  <c r="AD21" i="1"/>
  <c r="AM12" i="1"/>
  <c r="AR11" i="1"/>
  <c r="AA16" i="1"/>
  <c r="AB16" i="1" s="1"/>
  <c r="AC10" i="1"/>
  <c r="AA65" i="1"/>
  <c r="AB65" i="1" s="1"/>
  <c r="AR69" i="1"/>
  <c r="AP67" i="1"/>
  <c r="AR67" i="1"/>
  <c r="AQ65" i="1"/>
  <c r="AM67" i="1"/>
  <c r="AQ67" i="1"/>
  <c r="AO68" i="1"/>
  <c r="AM70" i="1"/>
  <c r="AN68" i="1"/>
  <c r="AP65" i="1"/>
  <c r="AC61" i="1"/>
  <c r="AR60" i="1"/>
  <c r="AC60" i="1"/>
  <c r="AR61" i="1"/>
  <c r="AN63" i="1"/>
  <c r="AN64" i="1"/>
  <c r="AQ64" i="1"/>
  <c r="AA62" i="1"/>
  <c r="AB62" i="1" s="1"/>
  <c r="AR62" i="1"/>
  <c r="AN58" i="1"/>
  <c r="AQ53" i="1"/>
  <c r="AM57" i="1"/>
  <c r="AM58" i="1"/>
  <c r="AQ58" i="1"/>
  <c r="AP54" i="1"/>
  <c r="AO52" i="1"/>
  <c r="AR47" i="1"/>
  <c r="AP48" i="1"/>
  <c r="AC47" i="1"/>
  <c r="AD49" i="1"/>
  <c r="AM52" i="1"/>
  <c r="AP49" i="1"/>
  <c r="AA50" i="1"/>
  <c r="AB50" i="1" s="1"/>
  <c r="AN52" i="1"/>
  <c r="AO48" i="1"/>
  <c r="AN46" i="1"/>
  <c r="AQ43" i="1"/>
  <c r="AN43" i="1"/>
  <c r="AC41" i="1"/>
  <c r="AP40" i="1"/>
  <c r="AO40" i="1"/>
  <c r="AC35" i="1"/>
  <c r="AA35" i="1"/>
  <c r="AB35" i="1" s="1"/>
  <c r="AM38" i="1"/>
  <c r="AM36" i="1"/>
  <c r="AD33" i="1"/>
  <c r="AC33" i="1"/>
  <c r="AA31" i="1"/>
  <c r="AB31" i="1" s="1"/>
  <c r="AC30" i="1"/>
  <c r="AD29" i="1"/>
  <c r="AR31" i="1"/>
  <c r="AP34" i="1"/>
  <c r="AR29" i="1"/>
  <c r="AM32" i="1"/>
  <c r="AO26" i="1"/>
  <c r="AA23" i="1"/>
  <c r="AB23" i="1" s="1"/>
  <c r="AO27" i="1"/>
  <c r="AQ23" i="1"/>
  <c r="AM26" i="1"/>
  <c r="AA25" i="1"/>
  <c r="AB25" i="1" s="1"/>
  <c r="AN23" i="1"/>
  <c r="AQ17" i="1"/>
  <c r="AP19" i="1"/>
  <c r="AM19" i="1"/>
  <c r="AA18" i="1"/>
  <c r="AB18" i="1" s="1"/>
  <c r="AR18" i="1"/>
  <c r="AQ22" i="1"/>
  <c r="AR20" i="1"/>
  <c r="AM20" i="1"/>
  <c r="AA19" i="1"/>
  <c r="AB19" i="1" s="1"/>
  <c r="AA17" i="1"/>
  <c r="AB17" i="1" s="1"/>
  <c r="AM18" i="1"/>
  <c r="AC17" i="1"/>
  <c r="AN20" i="1"/>
  <c r="AM14" i="1"/>
  <c r="AR13" i="1"/>
  <c r="AQ14" i="1"/>
  <c r="AM16" i="1"/>
  <c r="AA15" i="1"/>
  <c r="AB15" i="1" s="1"/>
  <c r="AA12" i="1"/>
  <c r="AB12" i="1" s="1"/>
  <c r="AO15" i="1"/>
  <c r="AD13" i="1"/>
  <c r="AB67" i="1"/>
  <c r="AB66" i="1"/>
  <c r="C14" i="1"/>
  <c r="AB75" i="1"/>
  <c r="AB71" i="1"/>
  <c r="AB64" i="1"/>
  <c r="D64" i="1" s="1"/>
  <c r="AF64" i="1" s="1"/>
  <c r="AB83" i="1"/>
  <c r="AB73" i="1"/>
  <c r="A59" i="11"/>
  <c r="J59" i="11" s="1"/>
  <c r="E73" i="1"/>
  <c r="E74" i="1"/>
  <c r="E89" i="1"/>
  <c r="F83" i="1"/>
  <c r="I33" i="26" s="1"/>
  <c r="E86" i="1"/>
  <c r="F86" i="1"/>
  <c r="I36" i="26" s="1"/>
  <c r="E68" i="1"/>
  <c r="E84" i="1"/>
  <c r="E79" i="1"/>
  <c r="F68" i="1"/>
  <c r="I18" i="26" s="1"/>
  <c r="F79" i="1"/>
  <c r="I29" i="26" s="1"/>
  <c r="F66" i="1"/>
  <c r="I16" i="26" s="1"/>
  <c r="F99" i="1"/>
  <c r="I49" i="26" s="1"/>
  <c r="E94" i="1"/>
  <c r="E93" i="1"/>
  <c r="E88" i="1"/>
  <c r="E87" i="1"/>
  <c r="F82" i="1"/>
  <c r="I32" i="26" s="1"/>
  <c r="F70" i="1"/>
  <c r="I20" i="26" s="1"/>
  <c r="F40" i="1"/>
  <c r="F22" i="1"/>
  <c r="D20" i="26" s="1"/>
  <c r="E40" i="1"/>
  <c r="E52" i="1"/>
  <c r="E58" i="1"/>
  <c r="E64" i="1"/>
  <c r="E16" i="1"/>
  <c r="F71" i="1"/>
  <c r="I21" i="26" s="1"/>
  <c r="F52" i="1"/>
  <c r="D50" i="26" s="1"/>
  <c r="A58" i="11"/>
  <c r="J58" i="11" s="1"/>
  <c r="F65" i="1"/>
  <c r="I15" i="26" s="1"/>
  <c r="E67" i="1"/>
  <c r="F98" i="1"/>
  <c r="I48" i="26" s="1"/>
  <c r="E77" i="1"/>
  <c r="E91" i="1"/>
  <c r="F77" i="1"/>
  <c r="I27" i="26" s="1"/>
  <c r="E97" i="1"/>
  <c r="F96" i="1"/>
  <c r="I46" i="26" s="1"/>
  <c r="E80" i="1"/>
  <c r="F67" i="1"/>
  <c r="I17" i="26" s="1"/>
  <c r="F72" i="1"/>
  <c r="I22" i="26" s="1"/>
  <c r="E92" i="1"/>
  <c r="F85" i="1"/>
  <c r="I35" i="26" s="1"/>
  <c r="E96" i="1"/>
  <c r="F73" i="1"/>
  <c r="I23" i="26" s="1"/>
  <c r="E90" i="1"/>
  <c r="E72" i="1"/>
  <c r="F90" i="1"/>
  <c r="I40" i="26" s="1"/>
  <c r="F84" i="1"/>
  <c r="I34" i="26" s="1"/>
  <c r="F80" i="1"/>
  <c r="I30" i="26" s="1"/>
  <c r="F78" i="1"/>
  <c r="I28" i="26" s="1"/>
  <c r="F74" i="1"/>
  <c r="I24" i="26" s="1"/>
  <c r="F97" i="1"/>
  <c r="I47" i="26" s="1"/>
  <c r="F100" i="1"/>
  <c r="E99" i="1"/>
  <c r="F94" i="1"/>
  <c r="I44" i="26" s="1"/>
  <c r="F93" i="1"/>
  <c r="I43" i="26" s="1"/>
  <c r="F88" i="1"/>
  <c r="I38" i="26" s="1"/>
  <c r="F87" i="1"/>
  <c r="I37" i="26" s="1"/>
  <c r="E82" i="1"/>
  <c r="E81" i="1"/>
  <c r="F76" i="1"/>
  <c r="I26" i="26" s="1"/>
  <c r="E75" i="1"/>
  <c r="F69" i="1"/>
  <c r="E579" i="17" s="1"/>
  <c r="E70" i="1"/>
  <c r="E69" i="1"/>
  <c r="F58" i="1"/>
  <c r="I8" i="26" s="1"/>
  <c r="F34" i="1"/>
  <c r="D32" i="26" s="1"/>
  <c r="F28" i="1"/>
  <c r="D26" i="26" s="1"/>
  <c r="F10" i="1"/>
  <c r="D8" i="26" s="1"/>
  <c r="E28" i="1"/>
  <c r="AM48" i="1"/>
  <c r="AN61" i="1"/>
  <c r="AP63" i="1"/>
  <c r="AD35" i="1"/>
  <c r="AP35" i="1"/>
  <c r="AQ59" i="1"/>
  <c r="AM62" i="1"/>
  <c r="AQ61" i="1"/>
  <c r="AD61" i="1"/>
  <c r="AP60" i="1"/>
  <c r="AC62" i="1"/>
  <c r="AM60" i="1"/>
  <c r="AO54" i="1"/>
  <c r="AD54" i="1"/>
  <c r="AP55" i="1"/>
  <c r="AN57" i="1"/>
  <c r="AP53" i="1"/>
  <c r="AO53" i="1"/>
  <c r="AQ48" i="1"/>
  <c r="AC51" i="1"/>
  <c r="AP51" i="1"/>
  <c r="AO51" i="1"/>
  <c r="AC50" i="1"/>
  <c r="AD47" i="1"/>
  <c r="AQ41" i="1"/>
  <c r="AA44" i="1"/>
  <c r="AB44" i="1" s="1"/>
  <c r="AP43" i="1"/>
  <c r="AN44" i="1"/>
  <c r="AD42" i="1"/>
  <c r="AA43" i="1"/>
  <c r="AB43" i="1" s="1"/>
  <c r="AM39" i="1"/>
  <c r="AO39" i="1"/>
  <c r="AA37" i="1"/>
  <c r="AB37" i="1" s="1"/>
  <c r="AP39" i="1"/>
  <c r="AC39" i="1"/>
  <c r="AC38" i="1"/>
  <c r="AO36" i="1"/>
  <c r="AQ31" i="1"/>
  <c r="AQ29" i="1"/>
  <c r="AC32" i="1"/>
  <c r="AA32" i="1"/>
  <c r="AB32" i="1" s="1"/>
  <c r="AP29" i="1"/>
  <c r="AM27" i="1"/>
  <c r="AO23" i="1"/>
  <c r="AD23" i="1"/>
  <c r="AD24" i="1"/>
  <c r="AQ25" i="1"/>
  <c r="AD25" i="1"/>
  <c r="AN21" i="1"/>
  <c r="AD18" i="1"/>
  <c r="AP21" i="1"/>
  <c r="AA20" i="1"/>
  <c r="AB20" i="1" s="1"/>
  <c r="AC15" i="1"/>
  <c r="AM15" i="1"/>
  <c r="AO11" i="1"/>
  <c r="AD12" i="1"/>
  <c r="AC14" i="1"/>
  <c r="AD11" i="1"/>
  <c r="AC12" i="1"/>
  <c r="AC9" i="1"/>
  <c r="AC8" i="1"/>
  <c r="AM9" i="1"/>
  <c r="AM8" i="1"/>
  <c r="AC6" i="1"/>
  <c r="AP59" i="1"/>
  <c r="AQ62" i="1"/>
  <c r="AD63" i="1"/>
  <c r="AC63" i="1"/>
  <c r="AA60" i="1"/>
  <c r="AB60" i="1" s="1"/>
  <c r="AC59" i="1"/>
  <c r="AO59" i="1"/>
  <c r="AQ56" i="1"/>
  <c r="AD56" i="1"/>
  <c r="AN56" i="1"/>
  <c r="AN53" i="1"/>
  <c r="AM54" i="1"/>
  <c r="AM56" i="1"/>
  <c r="AP57" i="1"/>
  <c r="AO58" i="1"/>
  <c r="AA56" i="1"/>
  <c r="AB56" i="1" s="1"/>
  <c r="AA55" i="1"/>
  <c r="AB55" i="1" s="1"/>
  <c r="AC56" i="1"/>
  <c r="AA53" i="1"/>
  <c r="AB53" i="1" s="1"/>
  <c r="AN49" i="1"/>
  <c r="AN47" i="1"/>
  <c r="AQ49" i="1"/>
  <c r="AN50" i="1"/>
  <c r="AR50" i="1"/>
  <c r="AP52" i="1"/>
  <c r="AD50" i="1"/>
  <c r="AD48" i="1"/>
  <c r="AA47" i="1"/>
  <c r="AB47" i="1" s="1"/>
  <c r="AO47" i="1"/>
  <c r="AQ42" i="1"/>
  <c r="AD44" i="1"/>
  <c r="AC44" i="1"/>
  <c r="AC42" i="1"/>
  <c r="AR43" i="1"/>
  <c r="AN45" i="1"/>
  <c r="AC45" i="1"/>
  <c r="AA45" i="1"/>
  <c r="AB45" i="1" s="1"/>
  <c r="AQ44" i="1"/>
  <c r="AC43" i="1"/>
  <c r="AA42" i="1"/>
  <c r="AB42" i="1" s="1"/>
  <c r="AP41" i="1"/>
  <c r="AC36" i="1"/>
  <c r="AN38" i="1"/>
  <c r="AD38" i="1"/>
  <c r="AE38" i="1" s="1"/>
  <c r="AD37" i="1"/>
  <c r="AQ35" i="1"/>
  <c r="AP36" i="1"/>
  <c r="AR37" i="1"/>
  <c r="AR38" i="1"/>
  <c r="AA39" i="1"/>
  <c r="AB39" i="1" s="1"/>
  <c r="AC37" i="1"/>
  <c r="AA38" i="1"/>
  <c r="AB38" i="1" s="1"/>
  <c r="AH38" i="1" s="1"/>
  <c r="AA36" i="1"/>
  <c r="AB36" i="1" s="1"/>
  <c r="AC29" i="1"/>
  <c r="AM31" i="1"/>
  <c r="AA30" i="1"/>
  <c r="AB30" i="1" s="1"/>
  <c r="AO29" i="1"/>
  <c r="AP30" i="1"/>
  <c r="AD30" i="1"/>
  <c r="AD27" i="1"/>
  <c r="AD26" i="1"/>
  <c r="AR25" i="1"/>
  <c r="AA26" i="1"/>
  <c r="AB26" i="1" s="1"/>
  <c r="AC26" i="1"/>
  <c r="AO17" i="1"/>
  <c r="AR19" i="1"/>
  <c r="AO22" i="1"/>
  <c r="AO20" i="1"/>
  <c r="AC19" i="1"/>
  <c r="AM21" i="1"/>
  <c r="AD19" i="1"/>
  <c r="AE19" i="1" s="1"/>
  <c r="AD14" i="1"/>
  <c r="AA13" i="1"/>
  <c r="AB13" i="1" s="1"/>
  <c r="AA14" i="1"/>
  <c r="AB14" i="1" s="1"/>
  <c r="AN11" i="1"/>
  <c r="AP11" i="1"/>
  <c r="AP12" i="1"/>
  <c r="AP13" i="1"/>
  <c r="AO14" i="1"/>
  <c r="AC13" i="1"/>
  <c r="AD15" i="1"/>
  <c r="AA7" i="1"/>
  <c r="AB7" i="1" s="1"/>
  <c r="AD9" i="1"/>
  <c r="AD8" i="1"/>
  <c r="AQ5" i="1"/>
  <c r="AA5" i="1"/>
  <c r="AB5" i="1" s="1"/>
  <c r="E293" i="17"/>
  <c r="AA9" i="1"/>
  <c r="AB9" i="1" s="1"/>
  <c r="AA27" i="1"/>
  <c r="AB27" i="1" s="1"/>
  <c r="AQ94" i="1"/>
  <c r="AR15" i="1"/>
  <c r="AR39" i="1"/>
  <c r="AD51" i="1"/>
  <c r="AA33" i="1"/>
  <c r="AB33" i="1" s="1"/>
  <c r="AC24" i="1"/>
  <c r="AA49" i="1"/>
  <c r="AB49" i="1" s="1"/>
  <c r="AA48" i="1"/>
  <c r="AB48" i="1" s="1"/>
  <c r="AC49" i="1"/>
  <c r="AC25" i="1"/>
  <c r="AA51" i="1"/>
  <c r="AB51" i="1" s="1"/>
  <c r="AD55" i="1"/>
  <c r="D36" i="23"/>
  <c r="D31" i="23"/>
  <c r="D12" i="25"/>
  <c r="D6" i="25"/>
  <c r="AA8" i="1"/>
  <c r="AB8" i="1" s="1"/>
  <c r="AC27" i="1"/>
  <c r="AA21" i="1"/>
  <c r="AB21" i="1" s="1"/>
  <c r="AD17" i="1"/>
  <c r="AC48" i="1"/>
  <c r="AA63" i="1"/>
  <c r="AB63" i="1" s="1"/>
  <c r="AD62" i="1"/>
  <c r="AA61" i="1"/>
  <c r="AB61" i="1" s="1"/>
  <c r="AD60" i="1"/>
  <c r="AD59" i="1"/>
  <c r="AA59" i="1"/>
  <c r="AB59" i="1" s="1"/>
  <c r="AC57" i="1"/>
  <c r="AC55" i="1"/>
  <c r="AD57" i="1"/>
  <c r="AE57" i="1" s="1"/>
  <c r="AC53" i="1"/>
  <c r="AD53" i="1"/>
  <c r="D465" i="17" l="1"/>
  <c r="E179" i="17"/>
  <c r="C38" i="1"/>
  <c r="AH22" i="1"/>
  <c r="AE21" i="1"/>
  <c r="AH21" i="1" s="1"/>
  <c r="E405" i="17"/>
  <c r="AE35" i="1"/>
  <c r="AE23" i="1"/>
  <c r="AH23" i="1" s="1"/>
  <c r="E121" i="17"/>
  <c r="D11" i="26"/>
  <c r="D121" i="17"/>
  <c r="E408" i="17"/>
  <c r="AE28" i="1"/>
  <c r="AH28" i="1" s="1"/>
  <c r="AE31" i="1"/>
  <c r="AH31" i="1" s="1"/>
  <c r="AE40" i="1"/>
  <c r="AE16" i="1"/>
  <c r="AH16" i="1" s="1"/>
  <c r="B21" i="26"/>
  <c r="AE20" i="1"/>
  <c r="AH20" i="1" s="1"/>
  <c r="C50" i="1"/>
  <c r="B48" i="26" s="1"/>
  <c r="C48" i="1"/>
  <c r="C29" i="26"/>
  <c r="B17" i="26"/>
  <c r="C35" i="1"/>
  <c r="B33" i="26" s="1"/>
  <c r="D21" i="26"/>
  <c r="D33" i="26"/>
  <c r="B3" i="26"/>
  <c r="E7" i="17"/>
  <c r="C13" i="1"/>
  <c r="C64" i="17" s="1"/>
  <c r="E407" i="17"/>
  <c r="E5" i="17"/>
  <c r="C51" i="1"/>
  <c r="C408" i="17" s="1"/>
  <c r="D17" i="26"/>
  <c r="E176" i="17"/>
  <c r="E9" i="17"/>
  <c r="C33" i="1"/>
  <c r="C237" i="17" s="1"/>
  <c r="C81" i="1"/>
  <c r="C693" i="17" s="1"/>
  <c r="E236" i="17"/>
  <c r="C26" i="1"/>
  <c r="B24" i="26" s="1"/>
  <c r="E406" i="17"/>
  <c r="AE8" i="1"/>
  <c r="AH8" i="1" s="1"/>
  <c r="AE14" i="1"/>
  <c r="AH14" i="1" s="1"/>
  <c r="AE27" i="1"/>
  <c r="AH27" i="1" s="1"/>
  <c r="AE50" i="1"/>
  <c r="AE11" i="1"/>
  <c r="AH11" i="1" s="1"/>
  <c r="AE12" i="1"/>
  <c r="AH12" i="1" s="1"/>
  <c r="AE18" i="1"/>
  <c r="AE25" i="1"/>
  <c r="AH25" i="1" s="1"/>
  <c r="AE24" i="1"/>
  <c r="AH24" i="1" s="1"/>
  <c r="AE47" i="1"/>
  <c r="AE54" i="1"/>
  <c r="AH54" i="1" s="1"/>
  <c r="AE36" i="1"/>
  <c r="AH36" i="1" s="1"/>
  <c r="AE43" i="1"/>
  <c r="AH43" i="1" s="1"/>
  <c r="AE10" i="1"/>
  <c r="AH10" i="1" s="1"/>
  <c r="AE34" i="1"/>
  <c r="AH34" i="1" s="1"/>
  <c r="AE53" i="1"/>
  <c r="AH53" i="1" s="1"/>
  <c r="AE17" i="1"/>
  <c r="AH17" i="1" s="1"/>
  <c r="AE55" i="1"/>
  <c r="AH55" i="1" s="1"/>
  <c r="AE51" i="1"/>
  <c r="AH51" i="1" s="1"/>
  <c r="AE9" i="1"/>
  <c r="AH9" i="1" s="1"/>
  <c r="AH15" i="1"/>
  <c r="AE15" i="1"/>
  <c r="AE26" i="1"/>
  <c r="AH26" i="1" s="1"/>
  <c r="AE30" i="1"/>
  <c r="AH30" i="1" s="1"/>
  <c r="AE37" i="1"/>
  <c r="AH37" i="1" s="1"/>
  <c r="AE44" i="1"/>
  <c r="AH44" i="1" s="1"/>
  <c r="AE48" i="1"/>
  <c r="AE56" i="1"/>
  <c r="AH56" i="1" s="1"/>
  <c r="AE42" i="1"/>
  <c r="AH42" i="1" s="1"/>
  <c r="AE13" i="1"/>
  <c r="AE29" i="1"/>
  <c r="AH29" i="1" s="1"/>
  <c r="AE33" i="1"/>
  <c r="AH33" i="1" s="1"/>
  <c r="AE49" i="1"/>
  <c r="AH49" i="1" s="1"/>
  <c r="AE32" i="1"/>
  <c r="AH32" i="1" s="1"/>
  <c r="AE41" i="1"/>
  <c r="AE7" i="1"/>
  <c r="AH7" i="1" s="1"/>
  <c r="AE6" i="1"/>
  <c r="AH6" i="1" s="1"/>
  <c r="AE39" i="1"/>
  <c r="AE46" i="1"/>
  <c r="AE45" i="1"/>
  <c r="AE52" i="1"/>
  <c r="AE5" i="1"/>
  <c r="C62" i="1"/>
  <c r="C521" i="17" s="1"/>
  <c r="C46" i="26"/>
  <c r="C25" i="1"/>
  <c r="C178" i="17" s="1"/>
  <c r="C179" i="17"/>
  <c r="C803" i="17"/>
  <c r="G39" i="26"/>
  <c r="C465" i="17"/>
  <c r="G7" i="26"/>
  <c r="C290" i="17"/>
  <c r="B31" i="26"/>
  <c r="G31" i="26"/>
  <c r="C234" i="17"/>
  <c r="B28" i="26"/>
  <c r="C9" i="17"/>
  <c r="B7" i="26"/>
  <c r="C293" i="17"/>
  <c r="B36" i="26"/>
  <c r="C405" i="17"/>
  <c r="B46" i="26"/>
  <c r="C65" i="17"/>
  <c r="B12" i="26"/>
  <c r="C461" i="17"/>
  <c r="G3" i="26"/>
  <c r="D176" i="17"/>
  <c r="C406" i="17"/>
  <c r="B47" i="26"/>
  <c r="C177" i="17"/>
  <c r="B22" i="26"/>
  <c r="C518" i="17"/>
  <c r="G9" i="26"/>
  <c r="C522" i="17"/>
  <c r="G13" i="26"/>
  <c r="C462" i="17"/>
  <c r="G4" i="26"/>
  <c r="C7" i="17"/>
  <c r="B5" i="26"/>
  <c r="D5" i="17"/>
  <c r="E6" i="17"/>
  <c r="H5" i="26"/>
  <c r="E519" i="17"/>
  <c r="H4" i="26"/>
  <c r="E521" i="17"/>
  <c r="E123" i="17"/>
  <c r="E119" i="17"/>
  <c r="H3" i="26"/>
  <c r="E462" i="17"/>
  <c r="C20" i="26"/>
  <c r="D7" i="17"/>
  <c r="D25" i="26"/>
  <c r="AH5" i="1"/>
  <c r="AH18" i="1"/>
  <c r="AH35" i="1"/>
  <c r="AH57" i="1"/>
  <c r="AH13" i="1"/>
  <c r="AH19" i="1"/>
  <c r="AH41" i="1"/>
  <c r="AH45" i="1"/>
  <c r="E404" i="17"/>
  <c r="C32" i="26"/>
  <c r="D234" i="17"/>
  <c r="D690" i="17"/>
  <c r="AH47" i="1"/>
  <c r="AH39" i="1"/>
  <c r="E465" i="17"/>
  <c r="AH50" i="1"/>
  <c r="C75" i="1"/>
  <c r="C21" i="1"/>
  <c r="C16" i="1"/>
  <c r="C17" i="1"/>
  <c r="C32" i="1"/>
  <c r="E178" i="17"/>
  <c r="C27" i="1"/>
  <c r="I4" i="26"/>
  <c r="AH40" i="1"/>
  <c r="AH48" i="1"/>
  <c r="AH46" i="1"/>
  <c r="E352" i="17"/>
  <c r="E62" i="17"/>
  <c r="H33" i="26"/>
  <c r="I9" i="26"/>
  <c r="H21" i="26"/>
  <c r="D177" i="17"/>
  <c r="C6" i="1"/>
  <c r="C46" i="1"/>
  <c r="C60" i="1"/>
  <c r="E693" i="17"/>
  <c r="E636" i="17"/>
  <c r="C11" i="1"/>
  <c r="C55" i="1"/>
  <c r="E522" i="17"/>
  <c r="C91" i="1"/>
  <c r="E805" i="17"/>
  <c r="C47" i="1"/>
  <c r="E806" i="17"/>
  <c r="C61" i="1"/>
  <c r="I13" i="26"/>
  <c r="I50" i="26"/>
  <c r="C100" i="1"/>
  <c r="E463" i="17"/>
  <c r="I11" i="26"/>
  <c r="H11" i="26"/>
  <c r="Y64" i="1"/>
  <c r="E518" i="17"/>
  <c r="D579" i="17"/>
  <c r="H19" i="26"/>
  <c r="C69" i="1"/>
  <c r="I19" i="26"/>
  <c r="D694" i="17"/>
  <c r="H32" i="26"/>
  <c r="D804" i="17"/>
  <c r="H40" i="26"/>
  <c r="D861" i="17"/>
  <c r="H46" i="26"/>
  <c r="D806" i="17"/>
  <c r="H42" i="26"/>
  <c r="D689" i="17"/>
  <c r="H27" i="26"/>
  <c r="D577" i="17"/>
  <c r="H17" i="26"/>
  <c r="D523" i="17"/>
  <c r="H14" i="26"/>
  <c r="D409" i="17"/>
  <c r="C50" i="26"/>
  <c r="D750" i="17"/>
  <c r="H37" i="26"/>
  <c r="D807" i="17"/>
  <c r="H43" i="26"/>
  <c r="D691" i="17"/>
  <c r="H29" i="26"/>
  <c r="D578" i="17"/>
  <c r="H18" i="26"/>
  <c r="D749" i="17"/>
  <c r="H36" i="26"/>
  <c r="D803" i="17"/>
  <c r="H39" i="26"/>
  <c r="D634" i="17"/>
  <c r="H23" i="26"/>
  <c r="D748" i="17"/>
  <c r="H35" i="26"/>
  <c r="H6" i="26"/>
  <c r="D464" i="17"/>
  <c r="D521" i="17"/>
  <c r="H12" i="26"/>
  <c r="E461" i="17"/>
  <c r="I3" i="26"/>
  <c r="D519" i="17"/>
  <c r="H10" i="26"/>
  <c r="D865" i="17"/>
  <c r="H50" i="26"/>
  <c r="D637" i="17"/>
  <c r="H26" i="26"/>
  <c r="C64" i="1"/>
  <c r="I14" i="26"/>
  <c r="D522" i="17"/>
  <c r="H13" i="26"/>
  <c r="D408" i="17"/>
  <c r="C49" i="26"/>
  <c r="D351" i="17"/>
  <c r="C43" i="26"/>
  <c r="D9" i="17"/>
  <c r="C7" i="26"/>
  <c r="C44" i="1"/>
  <c r="D42" i="26"/>
  <c r="D404" i="17"/>
  <c r="C45" i="26"/>
  <c r="D293" i="17"/>
  <c r="C36" i="26"/>
  <c r="D62" i="17"/>
  <c r="C9" i="26"/>
  <c r="D8" i="17"/>
  <c r="C6" i="26"/>
  <c r="D292" i="17"/>
  <c r="C35" i="26"/>
  <c r="D123" i="17"/>
  <c r="C19" i="26"/>
  <c r="D294" i="17"/>
  <c r="C37" i="26"/>
  <c r="D66" i="17"/>
  <c r="C13" i="26"/>
  <c r="D291" i="17"/>
  <c r="C34" i="26"/>
  <c r="D119" i="17"/>
  <c r="C15" i="26"/>
  <c r="D233" i="17"/>
  <c r="C27" i="26"/>
  <c r="E8" i="17"/>
  <c r="D6" i="26"/>
  <c r="D29" i="26"/>
  <c r="C31" i="1"/>
  <c r="E235" i="17"/>
  <c r="E351" i="17"/>
  <c r="D43" i="26"/>
  <c r="C45" i="1"/>
  <c r="C36" i="1"/>
  <c r="D34" i="26"/>
  <c r="E291" i="17"/>
  <c r="C39" i="1"/>
  <c r="D37" i="26"/>
  <c r="D181" i="17"/>
  <c r="C26" i="26"/>
  <c r="D580" i="17"/>
  <c r="H20" i="26"/>
  <c r="D636" i="17"/>
  <c r="H25" i="26"/>
  <c r="D693" i="17"/>
  <c r="H31" i="26"/>
  <c r="D864" i="17"/>
  <c r="H49" i="26"/>
  <c r="D633" i="17"/>
  <c r="H22" i="26"/>
  <c r="D692" i="17"/>
  <c r="H30" i="26"/>
  <c r="D862" i="17"/>
  <c r="H47" i="26"/>
  <c r="D805" i="17"/>
  <c r="H41" i="26"/>
  <c r="D67" i="17"/>
  <c r="C14" i="26"/>
  <c r="D466" i="17"/>
  <c r="H8" i="26"/>
  <c r="D295" i="17"/>
  <c r="C38" i="26"/>
  <c r="C40" i="1"/>
  <c r="D38" i="26"/>
  <c r="D751" i="17"/>
  <c r="H38" i="26"/>
  <c r="D808" i="17"/>
  <c r="H44" i="26"/>
  <c r="D747" i="17"/>
  <c r="H34" i="26"/>
  <c r="D635" i="17"/>
  <c r="H24" i="26"/>
  <c r="C8" i="1"/>
  <c r="C92" i="1"/>
  <c r="E67" i="17"/>
  <c r="E523" i="17"/>
  <c r="E294" i="17"/>
  <c r="H15" i="26"/>
  <c r="D575" i="17"/>
  <c r="H45" i="26"/>
  <c r="D860" i="17"/>
  <c r="E803" i="17"/>
  <c r="I39" i="26"/>
  <c r="D576" i="17"/>
  <c r="H16" i="26"/>
  <c r="D518" i="17"/>
  <c r="H9" i="26"/>
  <c r="I6" i="26"/>
  <c r="C56" i="1"/>
  <c r="E464" i="17"/>
  <c r="D352" i="17"/>
  <c r="C44" i="26"/>
  <c r="D10" i="17"/>
  <c r="C8" i="26"/>
  <c r="C41" i="1"/>
  <c r="D39" i="26"/>
  <c r="E63" i="17"/>
  <c r="D10" i="26"/>
  <c r="C12" i="1"/>
  <c r="E348" i="17"/>
  <c r="D40" i="26"/>
  <c r="C42" i="1"/>
  <c r="D347" i="17"/>
  <c r="C39" i="26"/>
  <c r="D64" i="17"/>
  <c r="C11" i="26"/>
  <c r="D348" i="17"/>
  <c r="C40" i="26"/>
  <c r="D13" i="26"/>
  <c r="C15" i="1"/>
  <c r="E66" i="17"/>
  <c r="D290" i="17"/>
  <c r="C33" i="26"/>
  <c r="D179" i="17"/>
  <c r="C24" i="26"/>
  <c r="C18" i="1"/>
  <c r="D16" i="26"/>
  <c r="C29" i="1"/>
  <c r="D27" i="26"/>
  <c r="E233" i="17"/>
  <c r="D178" i="17"/>
  <c r="C23" i="26"/>
  <c r="D63" i="17"/>
  <c r="C10" i="26"/>
  <c r="D406" i="17"/>
  <c r="C47" i="26"/>
  <c r="C43" i="1"/>
  <c r="D41" i="26"/>
  <c r="C20" i="1"/>
  <c r="D18" i="26"/>
  <c r="E122" i="17"/>
  <c r="D349" i="17"/>
  <c r="C41" i="26"/>
  <c r="D65" i="17"/>
  <c r="C12" i="26"/>
  <c r="C37" i="1"/>
  <c r="D35" i="26"/>
  <c r="E292" i="17"/>
  <c r="I45" i="26"/>
  <c r="E860" i="17"/>
  <c r="C95" i="1"/>
  <c r="E295" i="17"/>
  <c r="C28" i="1"/>
  <c r="E181" i="17"/>
  <c r="C58" i="1"/>
  <c r="E466" i="17"/>
  <c r="E750" i="17"/>
  <c r="C87" i="1"/>
  <c r="E807" i="17"/>
  <c r="C93" i="1"/>
  <c r="E862" i="17"/>
  <c r="C97" i="1"/>
  <c r="E690" i="17"/>
  <c r="C78" i="1"/>
  <c r="C84" i="1"/>
  <c r="E747" i="17"/>
  <c r="C73" i="1"/>
  <c r="E634" i="17"/>
  <c r="C85" i="1"/>
  <c r="E748" i="17"/>
  <c r="E633" i="17"/>
  <c r="C72" i="1"/>
  <c r="E863" i="17"/>
  <c r="C98" i="1"/>
  <c r="C65" i="1"/>
  <c r="E575" i="17"/>
  <c r="C52" i="1"/>
  <c r="E409" i="17"/>
  <c r="E694" i="17"/>
  <c r="C82" i="1"/>
  <c r="C66" i="1"/>
  <c r="E576" i="17"/>
  <c r="E578" i="17"/>
  <c r="C68" i="1"/>
  <c r="E749" i="17"/>
  <c r="C86" i="1"/>
  <c r="C83" i="1"/>
  <c r="E746" i="17"/>
  <c r="L59" i="11"/>
  <c r="C10" i="1"/>
  <c r="E10" i="17"/>
  <c r="C34" i="1"/>
  <c r="E238" i="17"/>
  <c r="E637" i="17"/>
  <c r="C76" i="1"/>
  <c r="E751" i="17"/>
  <c r="C88" i="1"/>
  <c r="E808" i="17"/>
  <c r="C94" i="1"/>
  <c r="E865" i="17"/>
  <c r="E635" i="17"/>
  <c r="C74" i="1"/>
  <c r="E692" i="17"/>
  <c r="C80" i="1"/>
  <c r="E804" i="17"/>
  <c r="C90" i="1"/>
  <c r="C67" i="1"/>
  <c r="E577" i="17"/>
  <c r="E861" i="17"/>
  <c r="C96" i="1"/>
  <c r="C77" i="1"/>
  <c r="E689" i="17"/>
  <c r="L58" i="11"/>
  <c r="C71" i="1"/>
  <c r="E632" i="17"/>
  <c r="C22" i="1"/>
  <c r="E124" i="17"/>
  <c r="C70" i="1"/>
  <c r="E580" i="17"/>
  <c r="E864" i="17"/>
  <c r="C99" i="1"/>
  <c r="C79" i="1"/>
  <c r="E691" i="17"/>
  <c r="B11" i="26" l="1"/>
  <c r="C407" i="17"/>
  <c r="B49" i="26"/>
  <c r="G12" i="26"/>
  <c r="B23" i="26"/>
  <c r="C864" i="17"/>
  <c r="G49" i="26"/>
  <c r="C689" i="17"/>
  <c r="G27" i="26"/>
  <c r="C577" i="17"/>
  <c r="G17" i="26"/>
  <c r="C808" i="17"/>
  <c r="G44" i="26"/>
  <c r="C637" i="17"/>
  <c r="G26" i="26"/>
  <c r="C746" i="17"/>
  <c r="G33" i="26"/>
  <c r="C863" i="17"/>
  <c r="G48" i="26"/>
  <c r="C690" i="17"/>
  <c r="G28" i="26"/>
  <c r="C807" i="17"/>
  <c r="G43" i="26"/>
  <c r="C750" i="17"/>
  <c r="G37" i="26"/>
  <c r="C292" i="17"/>
  <c r="B35" i="26"/>
  <c r="C691" i="17"/>
  <c r="G29" i="26"/>
  <c r="C580" i="17"/>
  <c r="G20" i="26"/>
  <c r="C124" i="17"/>
  <c r="C166" i="17" s="1"/>
  <c r="B20" i="26"/>
  <c r="C632" i="17"/>
  <c r="G21" i="26"/>
  <c r="C861" i="17"/>
  <c r="G46" i="26"/>
  <c r="C804" i="17"/>
  <c r="G40" i="26"/>
  <c r="C692" i="17"/>
  <c r="G30" i="26"/>
  <c r="C635" i="17"/>
  <c r="G24" i="26"/>
  <c r="C238" i="17"/>
  <c r="C262" i="17" s="1"/>
  <c r="B32" i="26"/>
  <c r="C10" i="17"/>
  <c r="C31" i="17" s="1"/>
  <c r="B8" i="26"/>
  <c r="C749" i="17"/>
  <c r="G36" i="26"/>
  <c r="C578" i="17"/>
  <c r="G18" i="26"/>
  <c r="C694" i="17"/>
  <c r="G32" i="26"/>
  <c r="C409" i="17"/>
  <c r="B50" i="26"/>
  <c r="C575" i="17"/>
  <c r="G15" i="26"/>
  <c r="C634" i="17"/>
  <c r="G23" i="26"/>
  <c r="C747" i="17"/>
  <c r="G34" i="26"/>
  <c r="C466" i="17"/>
  <c r="G8" i="26"/>
  <c r="C181" i="17"/>
  <c r="C223" i="17" s="1"/>
  <c r="B26" i="26"/>
  <c r="C860" i="17"/>
  <c r="G45" i="26"/>
  <c r="C122" i="17"/>
  <c r="B18" i="26"/>
  <c r="C349" i="17"/>
  <c r="B41" i="26"/>
  <c r="C63" i="17"/>
  <c r="B10" i="26"/>
  <c r="C347" i="17"/>
  <c r="B39" i="26"/>
  <c r="C464" i="17"/>
  <c r="G6" i="26"/>
  <c r="C8" i="17"/>
  <c r="C40" i="17" s="1"/>
  <c r="B6" i="26"/>
  <c r="C295" i="17"/>
  <c r="B38" i="26"/>
  <c r="C291" i="17"/>
  <c r="B34" i="26"/>
  <c r="C350" i="17"/>
  <c r="B42" i="26"/>
  <c r="C523" i="17"/>
  <c r="C547" i="17" s="1"/>
  <c r="D547" i="17" s="1"/>
  <c r="G14" i="26"/>
  <c r="C579" i="17"/>
  <c r="C587" i="17" s="1"/>
  <c r="G19" i="26"/>
  <c r="C865" i="17"/>
  <c r="C890" i="17" s="1"/>
  <c r="G50" i="26"/>
  <c r="C404" i="17"/>
  <c r="D412" i="17" s="1"/>
  <c r="B45" i="26"/>
  <c r="C805" i="17"/>
  <c r="G41" i="26"/>
  <c r="C463" i="17"/>
  <c r="E469" i="17" s="1"/>
  <c r="G5" i="26"/>
  <c r="C519" i="17"/>
  <c r="G10" i="26"/>
  <c r="C6" i="17"/>
  <c r="E13" i="17" s="1"/>
  <c r="B4" i="26"/>
  <c r="C180" i="17"/>
  <c r="E184" i="17" s="1"/>
  <c r="B25" i="26"/>
  <c r="C236" i="17"/>
  <c r="C260" i="17" s="1"/>
  <c r="B30" i="26"/>
  <c r="C67" i="17"/>
  <c r="C104" i="17" s="1"/>
  <c r="B14" i="26"/>
  <c r="C636" i="17"/>
  <c r="G25" i="26"/>
  <c r="C751" i="17"/>
  <c r="G38" i="26"/>
  <c r="C576" i="17"/>
  <c r="G16" i="26"/>
  <c r="C633" i="17"/>
  <c r="E640" i="17" s="1"/>
  <c r="G22" i="26"/>
  <c r="C862" i="17"/>
  <c r="C883" i="17" s="1"/>
  <c r="G47" i="26"/>
  <c r="C233" i="17"/>
  <c r="B27" i="26"/>
  <c r="C120" i="17"/>
  <c r="B16" i="26"/>
  <c r="C66" i="17"/>
  <c r="C92" i="17" s="1"/>
  <c r="B13" i="26"/>
  <c r="C348" i="17"/>
  <c r="B40" i="26"/>
  <c r="C806" i="17"/>
  <c r="C838" i="17" s="1"/>
  <c r="G42" i="26"/>
  <c r="C294" i="17"/>
  <c r="C307" i="17" s="1"/>
  <c r="D307" i="17" s="1"/>
  <c r="B37" i="26"/>
  <c r="C351" i="17"/>
  <c r="B43" i="26"/>
  <c r="C235" i="17"/>
  <c r="C257" i="17" s="1"/>
  <c r="B29" i="26"/>
  <c r="C520" i="17"/>
  <c r="G11" i="26"/>
  <c r="C62" i="17"/>
  <c r="E70" i="17" s="1"/>
  <c r="B9" i="26"/>
  <c r="C352" i="17"/>
  <c r="C379" i="17" s="1"/>
  <c r="D379" i="17" s="1"/>
  <c r="B44" i="26"/>
  <c r="C119" i="17"/>
  <c r="B15" i="26"/>
  <c r="C123" i="17"/>
  <c r="C146" i="17" s="1"/>
  <c r="B19" i="26"/>
  <c r="C748" i="17"/>
  <c r="D754" i="17" s="1"/>
  <c r="G35" i="26"/>
  <c r="C326" i="17"/>
  <c r="E326" i="17" s="1"/>
  <c r="D5" i="1"/>
  <c r="AF5" i="1" s="1"/>
  <c r="D298" i="17"/>
  <c r="C568" i="17"/>
  <c r="D52" i="1"/>
  <c r="AF52" i="1" s="1"/>
  <c r="D68" i="1"/>
  <c r="AF68" i="1" s="1"/>
  <c r="D67" i="1"/>
  <c r="AF67" i="1" s="1"/>
  <c r="D65" i="1"/>
  <c r="AF65" i="1" s="1"/>
  <c r="D66" i="1"/>
  <c r="AF66" i="1" s="1"/>
  <c r="D69" i="1"/>
  <c r="AF69" i="1" s="1"/>
  <c r="D13" i="17"/>
  <c r="D184" i="17"/>
  <c r="C905" i="17"/>
  <c r="C851" i="17"/>
  <c r="C848" i="17"/>
  <c r="C841" i="17"/>
  <c r="C845" i="17"/>
  <c r="C850" i="17"/>
  <c r="C842" i="17"/>
  <c r="C854" i="17"/>
  <c r="C853" i="17"/>
  <c r="C847" i="17"/>
  <c r="C844" i="17"/>
  <c r="C682" i="17"/>
  <c r="C671" i="17"/>
  <c r="C676" i="17"/>
  <c r="C680" i="17"/>
  <c r="C683" i="17"/>
  <c r="C670" i="17"/>
  <c r="C661" i="17"/>
  <c r="C674" i="17"/>
  <c r="C659" i="17"/>
  <c r="C677" i="17"/>
  <c r="C673" i="17"/>
  <c r="C679" i="17"/>
  <c r="C605" i="17"/>
  <c r="C626" i="17"/>
  <c r="C623" i="17"/>
  <c r="C595" i="17"/>
  <c r="C593" i="17"/>
  <c r="C611" i="17"/>
  <c r="C625" i="17"/>
  <c r="C608" i="17"/>
  <c r="C599" i="17"/>
  <c r="C616" i="17"/>
  <c r="C601" i="17"/>
  <c r="C589" i="17"/>
  <c r="C131" i="17"/>
  <c r="C148" i="17"/>
  <c r="D697" i="17"/>
  <c r="C272" i="17"/>
  <c r="C245" i="17"/>
  <c r="C43" i="17"/>
  <c r="C16" i="17"/>
  <c r="C22" i="17"/>
  <c r="C728" i="17"/>
  <c r="C707" i="17"/>
  <c r="C715" i="17"/>
  <c r="C731" i="17"/>
  <c r="C734" i="17"/>
  <c r="C721" i="17"/>
  <c r="C739" i="17"/>
  <c r="C730" i="17"/>
  <c r="C719" i="17"/>
  <c r="C706" i="17"/>
  <c r="C718" i="17"/>
  <c r="C736" i="17"/>
  <c r="C725" i="17"/>
  <c r="C701" i="17"/>
  <c r="C452" i="17"/>
  <c r="C454" i="17"/>
  <c r="C443" i="17"/>
  <c r="C436" i="17"/>
  <c r="C437" i="17"/>
  <c r="C434" i="17"/>
  <c r="C421" i="17"/>
  <c r="C448" i="17"/>
  <c r="C446" i="17"/>
  <c r="C427" i="17"/>
  <c r="C440" i="17"/>
  <c r="C419" i="17"/>
  <c r="C415" i="17"/>
  <c r="C445" i="17"/>
  <c r="C424" i="17"/>
  <c r="C430" i="17"/>
  <c r="C416" i="17"/>
  <c r="C442" i="17"/>
  <c r="C433" i="17"/>
  <c r="C422" i="17"/>
  <c r="E583" i="17"/>
  <c r="D583" i="17"/>
  <c r="C502" i="17"/>
  <c r="C482" i="17"/>
  <c r="C496" i="17"/>
  <c r="C497" i="17"/>
  <c r="C479" i="17"/>
  <c r="C488" i="17"/>
  <c r="C475" i="17"/>
  <c r="C485" i="17"/>
  <c r="C478" i="17"/>
  <c r="C490" i="17"/>
  <c r="C500" i="17"/>
  <c r="C494" i="17"/>
  <c r="C472" i="17"/>
  <c r="C493" i="17"/>
  <c r="C484" i="17"/>
  <c r="C491" i="17"/>
  <c r="C473" i="17"/>
  <c r="C481" i="17"/>
  <c r="C470" i="17"/>
  <c r="C476" i="17"/>
  <c r="C487" i="17"/>
  <c r="C512" i="17"/>
  <c r="C506" i="17"/>
  <c r="C511" i="17"/>
  <c r="C509" i="17"/>
  <c r="C508" i="17"/>
  <c r="C505" i="17"/>
  <c r="C499" i="17"/>
  <c r="C503" i="17"/>
  <c r="C227" i="17"/>
  <c r="C226" i="17"/>
  <c r="C190" i="17"/>
  <c r="C188" i="17"/>
  <c r="C185" i="17"/>
  <c r="C187" i="17"/>
  <c r="C208" i="17"/>
  <c r="D63" i="1"/>
  <c r="AF63" i="1" s="1"/>
  <c r="D57" i="1"/>
  <c r="AF57" i="1" s="1"/>
  <c r="D39" i="1"/>
  <c r="AF39" i="1" s="1"/>
  <c r="D49" i="1"/>
  <c r="AF49" i="1" s="1"/>
  <c r="D59" i="1"/>
  <c r="AF59" i="1" s="1"/>
  <c r="D53" i="1"/>
  <c r="AF53" i="1" s="1"/>
  <c r="D18" i="1"/>
  <c r="AF18" i="1" s="1"/>
  <c r="D62" i="1"/>
  <c r="AF62" i="1" s="1"/>
  <c r="D14" i="1"/>
  <c r="AF14" i="1" s="1"/>
  <c r="D54" i="1"/>
  <c r="AF54" i="1" s="1"/>
  <c r="D25" i="1"/>
  <c r="AF25" i="1" s="1"/>
  <c r="D56" i="1"/>
  <c r="AF56" i="1" s="1"/>
  <c r="D32" i="1"/>
  <c r="AF32" i="1" s="1"/>
  <c r="D60" i="1"/>
  <c r="AF60" i="1" s="1"/>
  <c r="D61" i="1"/>
  <c r="AF61" i="1" s="1"/>
  <c r="C274" i="17" l="1"/>
  <c r="C284" i="17"/>
  <c r="D284" i="17" s="1"/>
  <c r="C14" i="17"/>
  <c r="C35" i="17"/>
  <c r="E35" i="17" s="1"/>
  <c r="C56" i="17"/>
  <c r="C200" i="17"/>
  <c r="C196" i="17"/>
  <c r="D196" i="17" s="1"/>
  <c r="C220" i="17"/>
  <c r="C197" i="17"/>
  <c r="E197" i="17" s="1"/>
  <c r="C199" i="17"/>
  <c r="C214" i="17"/>
  <c r="E214" i="17" s="1"/>
  <c r="C218" i="17"/>
  <c r="C203" i="17"/>
  <c r="D203" i="17" s="1"/>
  <c r="C193" i="17"/>
  <c r="D193" i="17" s="1"/>
  <c r="C212" i="17"/>
  <c r="D212" i="17" s="1"/>
  <c r="C202" i="17"/>
  <c r="D202" i="17" s="1"/>
  <c r="C194" i="17"/>
  <c r="D194" i="17" s="1"/>
  <c r="C206" i="17"/>
  <c r="E206" i="17" s="1"/>
  <c r="C211" i="17"/>
  <c r="E211" i="17" s="1"/>
  <c r="C205" i="17"/>
  <c r="D205" i="17" s="1"/>
  <c r="C191" i="17"/>
  <c r="D191" i="17" s="1"/>
  <c r="C209" i="17"/>
  <c r="E209" i="17" s="1"/>
  <c r="C224" i="17"/>
  <c r="D224" i="17" s="1"/>
  <c r="C215" i="17"/>
  <c r="E215" i="17" s="1"/>
  <c r="C221" i="17"/>
  <c r="E221" i="17" s="1"/>
  <c r="C217" i="17"/>
  <c r="E217" i="17" s="1"/>
  <c r="C277" i="17"/>
  <c r="E277" i="17" s="1"/>
  <c r="C269" i="17"/>
  <c r="D269" i="17" s="1"/>
  <c r="C248" i="17"/>
  <c r="E248" i="17" s="1"/>
  <c r="C163" i="17"/>
  <c r="C158" i="17"/>
  <c r="E158" i="17" s="1"/>
  <c r="C170" i="17"/>
  <c r="C164" i="17"/>
  <c r="D164" i="17" s="1"/>
  <c r="C160" i="17"/>
  <c r="C38" i="17"/>
  <c r="D38" i="17" s="1"/>
  <c r="C46" i="17"/>
  <c r="E46" i="17" s="1"/>
  <c r="C44" i="17"/>
  <c r="D44" i="17" s="1"/>
  <c r="C20" i="17"/>
  <c r="D20" i="17" s="1"/>
  <c r="C128" i="17"/>
  <c r="E128" i="17" s="1"/>
  <c r="C23" i="17"/>
  <c r="E23" i="17" s="1"/>
  <c r="C25" i="17"/>
  <c r="D25" i="17" s="1"/>
  <c r="C37" i="17"/>
  <c r="D37" i="17" s="1"/>
  <c r="C130" i="17"/>
  <c r="E130" i="17" s="1"/>
  <c r="C263" i="17"/>
  <c r="D263" i="17" s="1"/>
  <c r="C266" i="17"/>
  <c r="D266" i="17" s="1"/>
  <c r="C256" i="17"/>
  <c r="E256" i="17" s="1"/>
  <c r="C247" i="17"/>
  <c r="D247" i="17" s="1"/>
  <c r="C142" i="17"/>
  <c r="D142" i="17" s="1"/>
  <c r="D241" i="17"/>
  <c r="C793" i="17"/>
  <c r="E793" i="17" s="1"/>
  <c r="C764" i="17"/>
  <c r="C652" i="17"/>
  <c r="E652" i="17" s="1"/>
  <c r="C643" i="17"/>
  <c r="C668" i="17"/>
  <c r="D668" i="17" s="1"/>
  <c r="C641" i="17"/>
  <c r="C451" i="17"/>
  <c r="E451" i="17" s="1"/>
  <c r="C455" i="17"/>
  <c r="C413" i="17"/>
  <c r="D413" i="17" s="1"/>
  <c r="C428" i="17"/>
  <c r="D428" i="17" s="1"/>
  <c r="C425" i="17"/>
  <c r="E425" i="17" s="1"/>
  <c r="C418" i="17"/>
  <c r="D418" i="17" s="1"/>
  <c r="C439" i="17"/>
  <c r="D439" i="17" s="1"/>
  <c r="C449" i="17"/>
  <c r="C431" i="17"/>
  <c r="D431" i="17" s="1"/>
  <c r="C740" i="17"/>
  <c r="C722" i="17"/>
  <c r="D722" i="17" s="1"/>
  <c r="C727" i="17"/>
  <c r="C712" i="17"/>
  <c r="E712" i="17" s="1"/>
  <c r="C703" i="17"/>
  <c r="C716" i="17"/>
  <c r="E716" i="17" s="1"/>
  <c r="C700" i="17"/>
  <c r="C709" i="17"/>
  <c r="D709" i="17" s="1"/>
  <c r="C704" i="17"/>
  <c r="C724" i="17"/>
  <c r="E724" i="17" s="1"/>
  <c r="C713" i="17"/>
  <c r="C737" i="17"/>
  <c r="D737" i="17" s="1"/>
  <c r="C710" i="17"/>
  <c r="C733" i="17"/>
  <c r="D733" i="17" s="1"/>
  <c r="C698" i="17"/>
  <c r="C34" i="17"/>
  <c r="E34" i="17" s="1"/>
  <c r="C19" i="17"/>
  <c r="E19" i="17" s="1"/>
  <c r="C17" i="17"/>
  <c r="E17" i="17" s="1"/>
  <c r="C50" i="17"/>
  <c r="D50" i="17" s="1"/>
  <c r="C32" i="17"/>
  <c r="E32" i="17" s="1"/>
  <c r="C29" i="17"/>
  <c r="E29" i="17" s="1"/>
  <c r="C53" i="17"/>
  <c r="E53" i="17" s="1"/>
  <c r="C49" i="17"/>
  <c r="D49" i="17" s="1"/>
  <c r="C28" i="17"/>
  <c r="D28" i="17" s="1"/>
  <c r="C47" i="17"/>
  <c r="E47" i="17" s="1"/>
  <c r="C26" i="17"/>
  <c r="E26" i="17" s="1"/>
  <c r="C41" i="17"/>
  <c r="E41" i="17" s="1"/>
  <c r="C52" i="17"/>
  <c r="D52" i="17" s="1"/>
  <c r="C55" i="17"/>
  <c r="D55" i="17" s="1"/>
  <c r="C271" i="17"/>
  <c r="E271" i="17" s="1"/>
  <c r="C265" i="17"/>
  <c r="E265" i="17" s="1"/>
  <c r="C268" i="17"/>
  <c r="D268" i="17" s="1"/>
  <c r="C254" i="17"/>
  <c r="E254" i="17" s="1"/>
  <c r="C275" i="17"/>
  <c r="D275" i="17" s="1"/>
  <c r="C280" i="17"/>
  <c r="E280" i="17" s="1"/>
  <c r="C250" i="17"/>
  <c r="E250" i="17" s="1"/>
  <c r="C244" i="17"/>
  <c r="E244" i="17" s="1"/>
  <c r="C259" i="17"/>
  <c r="E259" i="17" s="1"/>
  <c r="C251" i="17"/>
  <c r="D251" i="17" s="1"/>
  <c r="C242" i="17"/>
  <c r="E242" i="17" s="1"/>
  <c r="C253" i="17"/>
  <c r="E253" i="17" s="1"/>
  <c r="C278" i="17"/>
  <c r="E278" i="17" s="1"/>
  <c r="C283" i="17"/>
  <c r="E283" i="17" s="1"/>
  <c r="C281" i="17"/>
  <c r="E281" i="17" s="1"/>
  <c r="C154" i="17"/>
  <c r="E154" i="17" s="1"/>
  <c r="C167" i="17"/>
  <c r="E167" i="17" s="1"/>
  <c r="C136" i="17"/>
  <c r="E136" i="17" s="1"/>
  <c r="C169" i="17"/>
  <c r="D169" i="17" s="1"/>
  <c r="C161" i="17"/>
  <c r="D161" i="17" s="1"/>
  <c r="C157" i="17"/>
  <c r="E157" i="17" s="1"/>
  <c r="C139" i="17"/>
  <c r="E139" i="17" s="1"/>
  <c r="C133" i="17"/>
  <c r="D133" i="17" s="1"/>
  <c r="C140" i="17"/>
  <c r="E140" i="17" s="1"/>
  <c r="C152" i="17"/>
  <c r="D152" i="17" s="1"/>
  <c r="C604" i="17"/>
  <c r="C607" i="17"/>
  <c r="D607" i="17" s="1"/>
  <c r="C620" i="17"/>
  <c r="C613" i="17"/>
  <c r="E613" i="17" s="1"/>
  <c r="C622" i="17"/>
  <c r="C614" i="17"/>
  <c r="D614" i="17" s="1"/>
  <c r="C592" i="17"/>
  <c r="C602" i="17"/>
  <c r="E602" i="17" s="1"/>
  <c r="C586" i="17"/>
  <c r="C619" i="17"/>
  <c r="E619" i="17" s="1"/>
  <c r="C617" i="17"/>
  <c r="C590" i="17"/>
  <c r="E590" i="17" s="1"/>
  <c r="C584" i="17"/>
  <c r="E697" i="17"/>
  <c r="C149" i="17"/>
  <c r="E149" i="17" s="1"/>
  <c r="C137" i="17"/>
  <c r="E137" i="17" s="1"/>
  <c r="C143" i="17"/>
  <c r="D143" i="17" s="1"/>
  <c r="C145" i="17"/>
  <c r="E145" i="17" s="1"/>
  <c r="C134" i="17"/>
  <c r="D134" i="17" s="1"/>
  <c r="C151" i="17"/>
  <c r="E151" i="17" s="1"/>
  <c r="C155" i="17"/>
  <c r="D155" i="17" s="1"/>
  <c r="E754" i="17"/>
  <c r="C769" i="17"/>
  <c r="C833" i="17"/>
  <c r="D833" i="17" s="1"/>
  <c r="E241" i="17"/>
  <c r="E298" i="17"/>
  <c r="C313" i="17"/>
  <c r="E313" i="17" s="1"/>
  <c r="E355" i="17"/>
  <c r="D469" i="17"/>
  <c r="D640" i="17"/>
  <c r="C664" i="17"/>
  <c r="C650" i="17"/>
  <c r="E650" i="17" s="1"/>
  <c r="C779" i="17"/>
  <c r="C763" i="17"/>
  <c r="D763" i="17" s="1"/>
  <c r="C904" i="17"/>
  <c r="C902" i="17"/>
  <c r="E902" i="17" s="1"/>
  <c r="C553" i="17"/>
  <c r="C356" i="17"/>
  <c r="D356" i="17" s="1"/>
  <c r="C370" i="17"/>
  <c r="D370" i="17" s="1"/>
  <c r="D526" i="17"/>
  <c r="E868" i="17"/>
  <c r="C596" i="17"/>
  <c r="D596" i="17" s="1"/>
  <c r="C610" i="17"/>
  <c r="C598" i="17"/>
  <c r="D598" i="17" s="1"/>
  <c r="C662" i="17"/>
  <c r="C667" i="17"/>
  <c r="D667" i="17" s="1"/>
  <c r="C646" i="17"/>
  <c r="C644" i="17"/>
  <c r="E644" i="17" s="1"/>
  <c r="C647" i="17"/>
  <c r="C655" i="17"/>
  <c r="E655" i="17" s="1"/>
  <c r="C656" i="17"/>
  <c r="C649" i="17"/>
  <c r="E649" i="17" s="1"/>
  <c r="C658" i="17"/>
  <c r="C665" i="17"/>
  <c r="D665" i="17" s="1"/>
  <c r="C653" i="17"/>
  <c r="C781" i="17"/>
  <c r="E781" i="17" s="1"/>
  <c r="C785" i="17"/>
  <c r="C773" i="17"/>
  <c r="E773" i="17" s="1"/>
  <c r="C794" i="17"/>
  <c r="C817" i="17"/>
  <c r="D817" i="17" s="1"/>
  <c r="C814" i="17"/>
  <c r="C901" i="17"/>
  <c r="D901" i="17" s="1"/>
  <c r="C887" i="17"/>
  <c r="C566" i="17"/>
  <c r="D566" i="17" s="1"/>
  <c r="C557" i="17"/>
  <c r="C527" i="17"/>
  <c r="D527" i="17" s="1"/>
  <c r="C365" i="17"/>
  <c r="D365" i="17" s="1"/>
  <c r="C322" i="17"/>
  <c r="D322" i="17" s="1"/>
  <c r="C395" i="17"/>
  <c r="E395" i="17" s="1"/>
  <c r="C872" i="17"/>
  <c r="E872" i="17" s="1"/>
  <c r="C766" i="17"/>
  <c r="C787" i="17"/>
  <c r="D787" i="17" s="1"/>
  <c r="C797" i="17"/>
  <c r="C767" i="17"/>
  <c r="E767" i="17" s="1"/>
  <c r="C755" i="17"/>
  <c r="C796" i="17"/>
  <c r="D796" i="17" s="1"/>
  <c r="C761" i="17"/>
  <c r="C812" i="17"/>
  <c r="D812" i="17" s="1"/>
  <c r="C824" i="17"/>
  <c r="C839" i="17"/>
  <c r="E839" i="17" s="1"/>
  <c r="C815" i="17"/>
  <c r="C821" i="17"/>
  <c r="E821" i="17" s="1"/>
  <c r="C898" i="17"/>
  <c r="C910" i="17"/>
  <c r="E910" i="17" s="1"/>
  <c r="C899" i="17"/>
  <c r="C911" i="17"/>
  <c r="D911" i="17" s="1"/>
  <c r="C871" i="17"/>
  <c r="C895" i="17"/>
  <c r="D895" i="17" s="1"/>
  <c r="C893" i="17"/>
  <c r="E412" i="17"/>
  <c r="C562" i="17"/>
  <c r="C563" i="17"/>
  <c r="E563" i="17" s="1"/>
  <c r="C535" i="17"/>
  <c r="D535" i="17" s="1"/>
  <c r="D355" i="17"/>
  <c r="C536" i="17"/>
  <c r="D536" i="17" s="1"/>
  <c r="C371" i="17"/>
  <c r="D371" i="17" s="1"/>
  <c r="C358" i="17"/>
  <c r="D358" i="17" s="1"/>
  <c r="C532" i="17"/>
  <c r="E532" i="17" s="1"/>
  <c r="C361" i="17"/>
  <c r="E361" i="17" s="1"/>
  <c r="C304" i="17"/>
  <c r="E304" i="17" s="1"/>
  <c r="C301" i="17"/>
  <c r="D301" i="17" s="1"/>
  <c r="C320" i="17"/>
  <c r="D320" i="17" s="1"/>
  <c r="C323" i="17"/>
  <c r="C88" i="17"/>
  <c r="E88" i="17" s="1"/>
  <c r="C299" i="17"/>
  <c r="C103" i="17"/>
  <c r="D103" i="17" s="1"/>
  <c r="D92" i="17"/>
  <c r="D104" i="17"/>
  <c r="E811" i="17"/>
  <c r="C383" i="17"/>
  <c r="D383" i="17" s="1"/>
  <c r="D70" i="17"/>
  <c r="C71" i="17"/>
  <c r="E71" i="17" s="1"/>
  <c r="C79" i="17"/>
  <c r="E79" i="17" s="1"/>
  <c r="D395" i="17"/>
  <c r="D127" i="17"/>
  <c r="E127" i="17"/>
  <c r="C389" i="17"/>
  <c r="D389" i="17" s="1"/>
  <c r="C392" i="17"/>
  <c r="D392" i="17" s="1"/>
  <c r="C398" i="17"/>
  <c r="C362" i="17"/>
  <c r="D362" i="17" s="1"/>
  <c r="C376" i="17"/>
  <c r="E376" i="17" s="1"/>
  <c r="C373" i="17"/>
  <c r="E373" i="17" s="1"/>
  <c r="C374" i="17"/>
  <c r="E374" i="17" s="1"/>
  <c r="C380" i="17"/>
  <c r="E380" i="17" s="1"/>
  <c r="C382" i="17"/>
  <c r="E382" i="17" s="1"/>
  <c r="C367" i="17"/>
  <c r="E367" i="17" s="1"/>
  <c r="C770" i="17"/>
  <c r="C776" i="17"/>
  <c r="E776" i="17" s="1"/>
  <c r="C772" i="17"/>
  <c r="C788" i="17"/>
  <c r="E788" i="17" s="1"/>
  <c r="C784" i="17"/>
  <c r="C782" i="17"/>
  <c r="E782" i="17" s="1"/>
  <c r="C760" i="17"/>
  <c r="C775" i="17"/>
  <c r="E775" i="17" s="1"/>
  <c r="C778" i="17"/>
  <c r="C758" i="17"/>
  <c r="D758" i="17" s="1"/>
  <c r="C791" i="17"/>
  <c r="C790" i="17"/>
  <c r="D790" i="17" s="1"/>
  <c r="C757" i="17"/>
  <c r="C85" i="17"/>
  <c r="E85" i="17" s="1"/>
  <c r="C98" i="17"/>
  <c r="D98" i="17" s="1"/>
  <c r="C106" i="17"/>
  <c r="D106" i="17" s="1"/>
  <c r="C80" i="17"/>
  <c r="D80" i="17" s="1"/>
  <c r="C89" i="17"/>
  <c r="E89" i="17" s="1"/>
  <c r="E526" i="17"/>
  <c r="C869" i="17"/>
  <c r="E869" i="17" s="1"/>
  <c r="C892" i="17"/>
  <c r="C880" i="17"/>
  <c r="E880" i="17" s="1"/>
  <c r="C877" i="17"/>
  <c r="C908" i="17"/>
  <c r="E908" i="17" s="1"/>
  <c r="C881" i="17"/>
  <c r="C875" i="17"/>
  <c r="D875" i="17" s="1"/>
  <c r="C878" i="17"/>
  <c r="C874" i="17"/>
  <c r="E874" i="17" s="1"/>
  <c r="C884" i="17"/>
  <c r="C907" i="17"/>
  <c r="D907" i="17" s="1"/>
  <c r="C889" i="17"/>
  <c r="C886" i="17"/>
  <c r="E886" i="17" s="1"/>
  <c r="C896" i="17"/>
  <c r="C538" i="17"/>
  <c r="D538" i="17" s="1"/>
  <c r="C542" i="17"/>
  <c r="D542" i="17" s="1"/>
  <c r="C551" i="17"/>
  <c r="E551" i="17" s="1"/>
  <c r="C544" i="17"/>
  <c r="C539" i="17"/>
  <c r="D539" i="17" s="1"/>
  <c r="C530" i="17"/>
  <c r="C545" i="17"/>
  <c r="D545" i="17" s="1"/>
  <c r="C533" i="17"/>
  <c r="E533" i="17" s="1"/>
  <c r="C548" i="17"/>
  <c r="D548" i="17" s="1"/>
  <c r="C556" i="17"/>
  <c r="C559" i="17"/>
  <c r="D559" i="17" s="1"/>
  <c r="C569" i="17"/>
  <c r="C565" i="17"/>
  <c r="E565" i="17" s="1"/>
  <c r="C560" i="17"/>
  <c r="C308" i="17"/>
  <c r="D308" i="17" s="1"/>
  <c r="C340" i="17"/>
  <c r="D340" i="17" s="1"/>
  <c r="C325" i="17"/>
  <c r="D325" i="17" s="1"/>
  <c r="C314" i="17"/>
  <c r="D314" i="17" s="1"/>
  <c r="C317" i="17"/>
  <c r="E317" i="17" s="1"/>
  <c r="C310" i="17"/>
  <c r="D310" i="17" s="1"/>
  <c r="C319" i="17"/>
  <c r="D319" i="17" s="1"/>
  <c r="C311" i="17"/>
  <c r="D311" i="17" s="1"/>
  <c r="C305" i="17"/>
  <c r="D305" i="17" s="1"/>
  <c r="C302" i="17"/>
  <c r="D868" i="17"/>
  <c r="C827" i="17"/>
  <c r="C820" i="17"/>
  <c r="E820" i="17" s="1"/>
  <c r="C826" i="17"/>
  <c r="C835" i="17"/>
  <c r="E835" i="17" s="1"/>
  <c r="C818" i="17"/>
  <c r="C836" i="17"/>
  <c r="E836" i="17" s="1"/>
  <c r="C830" i="17"/>
  <c r="C832" i="17"/>
  <c r="E832" i="17" s="1"/>
  <c r="C823" i="17"/>
  <c r="C829" i="17"/>
  <c r="D829" i="17" s="1"/>
  <c r="E92" i="17"/>
  <c r="D811" i="17"/>
  <c r="C529" i="17"/>
  <c r="E529" i="17" s="1"/>
  <c r="E389" i="17"/>
  <c r="C364" i="17"/>
  <c r="D364" i="17" s="1"/>
  <c r="C359" i="17"/>
  <c r="D359" i="17" s="1"/>
  <c r="C368" i="17"/>
  <c r="E368" i="17" s="1"/>
  <c r="C377" i="17"/>
  <c r="E377" i="17" s="1"/>
  <c r="C97" i="17"/>
  <c r="E97" i="17" s="1"/>
  <c r="C94" i="17"/>
  <c r="D94" i="17" s="1"/>
  <c r="C95" i="17"/>
  <c r="E95" i="17" s="1"/>
  <c r="C74" i="17"/>
  <c r="E74" i="17" s="1"/>
  <c r="C73" i="17"/>
  <c r="E73" i="17" s="1"/>
  <c r="C388" i="17"/>
  <c r="C541" i="17"/>
  <c r="C386" i="17"/>
  <c r="D386" i="17" s="1"/>
  <c r="C397" i="17"/>
  <c r="C86" i="17"/>
  <c r="C77" i="17"/>
  <c r="C112" i="17"/>
  <c r="C110" i="17"/>
  <c r="C337" i="17"/>
  <c r="C334" i="17"/>
  <c r="C391" i="17"/>
  <c r="C385" i="17"/>
  <c r="C394" i="17"/>
  <c r="C82" i="17"/>
  <c r="C83" i="17"/>
  <c r="C109" i="17"/>
  <c r="C76" i="17"/>
  <c r="C113" i="17"/>
  <c r="C100" i="17"/>
  <c r="C101" i="17"/>
  <c r="C91" i="17"/>
  <c r="C107" i="17"/>
  <c r="C554" i="17"/>
  <c r="C550" i="17"/>
  <c r="C328" i="17"/>
  <c r="C331" i="17"/>
  <c r="C329" i="17"/>
  <c r="C335" i="17"/>
  <c r="C338" i="17"/>
  <c r="C316" i="17"/>
  <c r="C332" i="17"/>
  <c r="C341" i="17"/>
  <c r="E104" i="17"/>
  <c r="E542" i="17"/>
  <c r="D326" i="17"/>
  <c r="E379" i="17"/>
  <c r="D529" i="17"/>
  <c r="E535" i="17"/>
  <c r="D6" i="1"/>
  <c r="AF6" i="1" s="1"/>
  <c r="D20" i="1"/>
  <c r="AF20" i="1" s="1"/>
  <c r="D12" i="1"/>
  <c r="AF12" i="1" s="1"/>
  <c r="D47" i="1"/>
  <c r="AF47" i="1" s="1"/>
  <c r="D44" i="1"/>
  <c r="AF44" i="1" s="1"/>
  <c r="D13" i="1"/>
  <c r="AF13" i="1" s="1"/>
  <c r="D35" i="1"/>
  <c r="AF35" i="1" s="1"/>
  <c r="D41" i="1"/>
  <c r="AF41" i="1" s="1"/>
  <c r="D37" i="1"/>
  <c r="AF37" i="1" s="1"/>
  <c r="D17" i="1"/>
  <c r="AF17" i="1" s="1"/>
  <c r="D21" i="1"/>
  <c r="AF21" i="1" s="1"/>
  <c r="D45" i="1"/>
  <c r="AF45" i="1" s="1"/>
  <c r="D28" i="1"/>
  <c r="AF28" i="1" s="1"/>
  <c r="D16" i="1"/>
  <c r="AF16" i="1" s="1"/>
  <c r="D40" i="1"/>
  <c r="AF40" i="1" s="1"/>
  <c r="D7" i="1"/>
  <c r="AF7" i="1" s="1"/>
  <c r="D11" i="1"/>
  <c r="AF11" i="1" s="1"/>
  <c r="D19" i="1"/>
  <c r="AF19" i="1" s="1"/>
  <c r="D38" i="1"/>
  <c r="AF38" i="1" s="1"/>
  <c r="D55" i="1"/>
  <c r="AF55" i="1" s="1"/>
  <c r="D43" i="1"/>
  <c r="AF43" i="1" s="1"/>
  <c r="D36" i="1"/>
  <c r="AF36" i="1" s="1"/>
  <c r="D26" i="1"/>
  <c r="AF26" i="1" s="1"/>
  <c r="D8" i="1"/>
  <c r="AF8" i="1" s="1"/>
  <c r="D23" i="1"/>
  <c r="AF23" i="1" s="1"/>
  <c r="D29" i="1"/>
  <c r="AF29" i="1" s="1"/>
  <c r="D30" i="1"/>
  <c r="AF30" i="1" s="1"/>
  <c r="D31" i="1"/>
  <c r="AF31" i="1" s="1"/>
  <c r="D50" i="1"/>
  <c r="AF50" i="1" s="1"/>
  <c r="D42" i="1"/>
  <c r="AF42" i="1" s="1"/>
  <c r="D24" i="1"/>
  <c r="AF24" i="1" s="1"/>
  <c r="D9" i="1"/>
  <c r="AF9" i="1" s="1"/>
  <c r="D48" i="1"/>
  <c r="AF48" i="1" s="1"/>
  <c r="D15" i="1"/>
  <c r="AF15" i="1" s="1"/>
  <c r="D27" i="1"/>
  <c r="AF27" i="1" s="1"/>
  <c r="D33" i="1"/>
  <c r="AF33" i="1" s="1"/>
  <c r="D51" i="1"/>
  <c r="AF51" i="1" s="1"/>
  <c r="D10" i="1"/>
  <c r="AF10" i="1" s="1"/>
  <c r="D22" i="1"/>
  <c r="AF22" i="1" s="1"/>
  <c r="D34" i="1"/>
  <c r="AF34" i="1" s="1"/>
  <c r="D46" i="1"/>
  <c r="AF46" i="1" s="1"/>
  <c r="D58" i="1"/>
  <c r="AF58" i="1" s="1"/>
  <c r="E314" i="17"/>
  <c r="E547" i="17"/>
  <c r="E307" i="17"/>
  <c r="D382" i="17"/>
  <c r="E536" i="17"/>
  <c r="Y61" i="1"/>
  <c r="Y12" i="1"/>
  <c r="Y62" i="1"/>
  <c r="Y59" i="1"/>
  <c r="Y49" i="1"/>
  <c r="Y39" i="1"/>
  <c r="Y57" i="1"/>
  <c r="Y66" i="1"/>
  <c r="Y68" i="1"/>
  <c r="Y32" i="1"/>
  <c r="Y56" i="1"/>
  <c r="Y25" i="1"/>
  <c r="Y54" i="1"/>
  <c r="Y14" i="1"/>
  <c r="Y18" i="1"/>
  <c r="Y53" i="1"/>
  <c r="Y60" i="1"/>
  <c r="Y63" i="1"/>
  <c r="D533" i="17"/>
  <c r="Y69" i="1"/>
  <c r="Y65" i="1"/>
  <c r="Y67" i="1"/>
  <c r="Y52" i="1"/>
  <c r="E358" i="17"/>
  <c r="D544" i="17"/>
  <c r="E544" i="17"/>
  <c r="D530" i="17"/>
  <c r="E530" i="17"/>
  <c r="D553" i="17"/>
  <c r="E553" i="17"/>
  <c r="E562" i="17"/>
  <c r="D562" i="17"/>
  <c r="D568" i="17"/>
  <c r="E568" i="17"/>
  <c r="D557" i="17"/>
  <c r="E557" i="17"/>
  <c r="D560" i="17"/>
  <c r="E560" i="17"/>
  <c r="E569" i="17"/>
  <c r="D569" i="17"/>
  <c r="D556" i="17"/>
  <c r="E556" i="17"/>
  <c r="Y5" i="1"/>
  <c r="B69" i="11"/>
  <c r="C62" i="11"/>
  <c r="C69" i="11"/>
  <c r="C67" i="11"/>
  <c r="C66" i="11"/>
  <c r="B60" i="11"/>
  <c r="B62" i="11"/>
  <c r="B65" i="11"/>
  <c r="B64" i="11"/>
  <c r="B68" i="11"/>
  <c r="C61" i="11"/>
  <c r="B67" i="11"/>
  <c r="B61" i="11"/>
  <c r="B63" i="11"/>
  <c r="C63" i="11"/>
  <c r="C68" i="11"/>
  <c r="C65" i="11"/>
  <c r="C60" i="11"/>
  <c r="B66" i="11"/>
  <c r="C64" i="11"/>
  <c r="D200" i="17"/>
  <c r="E200" i="17"/>
  <c r="E185" i="17"/>
  <c r="D185" i="17"/>
  <c r="D190" i="17"/>
  <c r="E190" i="17"/>
  <c r="D227" i="17"/>
  <c r="E227" i="17"/>
  <c r="E505" i="17"/>
  <c r="D505" i="17"/>
  <c r="E506" i="17"/>
  <c r="D506" i="17"/>
  <c r="E484" i="17"/>
  <c r="D484" i="17"/>
  <c r="D475" i="17"/>
  <c r="E475" i="17"/>
  <c r="E416" i="17"/>
  <c r="D416" i="17"/>
  <c r="D455" i="17"/>
  <c r="E455" i="17"/>
  <c r="E698" i="17"/>
  <c r="D698" i="17"/>
  <c r="E733" i="17"/>
  <c r="E710" i="17"/>
  <c r="D710" i="17"/>
  <c r="E737" i="17"/>
  <c r="E713" i="17"/>
  <c r="D713" i="17"/>
  <c r="D724" i="17"/>
  <c r="E704" i="17"/>
  <c r="D704" i="17"/>
  <c r="E709" i="17"/>
  <c r="E700" i="17"/>
  <c r="D700" i="17"/>
  <c r="D716" i="17"/>
  <c r="D703" i="17"/>
  <c r="E703" i="17"/>
  <c r="D712" i="17"/>
  <c r="D727" i="17"/>
  <c r="E727" i="17"/>
  <c r="E722" i="17"/>
  <c r="D740" i="17"/>
  <c r="E740" i="17"/>
  <c r="D47" i="17"/>
  <c r="D32" i="17"/>
  <c r="D278" i="17"/>
  <c r="E275" i="17"/>
  <c r="E170" i="17"/>
  <c r="D170" i="17"/>
  <c r="D163" i="17"/>
  <c r="E163" i="17"/>
  <c r="D157" i="17"/>
  <c r="E169" i="17"/>
  <c r="D167" i="17"/>
  <c r="E146" i="17"/>
  <c r="D146" i="17"/>
  <c r="D589" i="17"/>
  <c r="E589" i="17"/>
  <c r="D601" i="17"/>
  <c r="E601" i="17"/>
  <c r="D616" i="17"/>
  <c r="E616" i="17"/>
  <c r="E599" i="17"/>
  <c r="D599" i="17"/>
  <c r="D608" i="17"/>
  <c r="E608" i="17"/>
  <c r="E625" i="17"/>
  <c r="D625" i="17"/>
  <c r="D611" i="17"/>
  <c r="E611" i="17"/>
  <c r="E593" i="17"/>
  <c r="D593" i="17"/>
  <c r="D595" i="17"/>
  <c r="E595" i="17"/>
  <c r="E623" i="17"/>
  <c r="D623" i="17"/>
  <c r="E620" i="17"/>
  <c r="D620" i="17"/>
  <c r="E607" i="17"/>
  <c r="E605" i="17"/>
  <c r="D605" i="17"/>
  <c r="D604" i="17"/>
  <c r="E604" i="17"/>
  <c r="D662" i="17"/>
  <c r="E662" i="17"/>
  <c r="D677" i="17"/>
  <c r="E677" i="17"/>
  <c r="E646" i="17"/>
  <c r="D646" i="17"/>
  <c r="D674" i="17"/>
  <c r="E674" i="17"/>
  <c r="D647" i="17"/>
  <c r="E647" i="17"/>
  <c r="E656" i="17"/>
  <c r="D656" i="17"/>
  <c r="D658" i="17"/>
  <c r="E658" i="17"/>
  <c r="D652" i="17"/>
  <c r="D676" i="17"/>
  <c r="E676" i="17"/>
  <c r="E682" i="17"/>
  <c r="D682" i="17"/>
  <c r="E766" i="17"/>
  <c r="D766" i="17"/>
  <c r="E757" i="17"/>
  <c r="D757" i="17"/>
  <c r="E791" i="17"/>
  <c r="D791" i="17"/>
  <c r="D778" i="17"/>
  <c r="E778" i="17"/>
  <c r="D760" i="17"/>
  <c r="E760" i="17"/>
  <c r="E784" i="17"/>
  <c r="D784" i="17"/>
  <c r="D788" i="17"/>
  <c r="D772" i="17"/>
  <c r="E772" i="17"/>
  <c r="E770" i="17"/>
  <c r="D770" i="17"/>
  <c r="E823" i="17"/>
  <c r="D823" i="17"/>
  <c r="D853" i="17"/>
  <c r="E853" i="17"/>
  <c r="D830" i="17"/>
  <c r="E830" i="17"/>
  <c r="D818" i="17"/>
  <c r="E818" i="17"/>
  <c r="D850" i="17"/>
  <c r="E850" i="17"/>
  <c r="D826" i="17"/>
  <c r="E826" i="17"/>
  <c r="D841" i="17"/>
  <c r="E841" i="17"/>
  <c r="D827" i="17"/>
  <c r="E827" i="17"/>
  <c r="E848" i="17"/>
  <c r="D848" i="17"/>
  <c r="E851" i="17"/>
  <c r="D851" i="17"/>
  <c r="E896" i="17"/>
  <c r="D896" i="17"/>
  <c r="E889" i="17"/>
  <c r="D889" i="17"/>
  <c r="D884" i="17"/>
  <c r="E884" i="17"/>
  <c r="D878" i="17"/>
  <c r="E878" i="17"/>
  <c r="E881" i="17"/>
  <c r="D881" i="17"/>
  <c r="D877" i="17"/>
  <c r="E877" i="17"/>
  <c r="D892" i="17"/>
  <c r="E892" i="17"/>
  <c r="E208" i="17"/>
  <c r="D208" i="17"/>
  <c r="E187" i="17"/>
  <c r="D187" i="17"/>
  <c r="E196" i="17"/>
  <c r="E220" i="17"/>
  <c r="D220" i="17"/>
  <c r="E188" i="17"/>
  <c r="D188" i="17"/>
  <c r="D197" i="17"/>
  <c r="D199" i="17"/>
  <c r="E199" i="17"/>
  <c r="D226" i="17"/>
  <c r="E226" i="17"/>
  <c r="D214" i="17"/>
  <c r="E218" i="17"/>
  <c r="D218" i="17"/>
  <c r="D503" i="17"/>
  <c r="E503" i="17"/>
  <c r="E509" i="17"/>
  <c r="D509" i="17"/>
  <c r="E487" i="17"/>
  <c r="D487" i="17"/>
  <c r="D470" i="17"/>
  <c r="E470" i="17"/>
  <c r="E473" i="17"/>
  <c r="D473" i="17"/>
  <c r="D472" i="17"/>
  <c r="E472" i="17"/>
  <c r="E500" i="17"/>
  <c r="D500" i="17"/>
  <c r="E478" i="17"/>
  <c r="D478" i="17"/>
  <c r="D479" i="17"/>
  <c r="E479" i="17"/>
  <c r="D496" i="17"/>
  <c r="E496" i="17"/>
  <c r="D502" i="17"/>
  <c r="E502" i="17"/>
  <c r="D433" i="17"/>
  <c r="E433" i="17"/>
  <c r="E424" i="17"/>
  <c r="D424" i="17"/>
  <c r="E415" i="17"/>
  <c r="D415" i="17"/>
  <c r="E440" i="17"/>
  <c r="D440" i="17"/>
  <c r="D449" i="17"/>
  <c r="E449" i="17"/>
  <c r="D451" i="17"/>
  <c r="E203" i="17"/>
  <c r="E193" i="17"/>
  <c r="E212" i="17"/>
  <c r="E202" i="17"/>
  <c r="E194" i="17"/>
  <c r="D206" i="17"/>
  <c r="D211" i="17"/>
  <c r="E205" i="17"/>
  <c r="E191" i="17"/>
  <c r="D209" i="17"/>
  <c r="E224" i="17"/>
  <c r="D215" i="17"/>
  <c r="D221" i="17"/>
  <c r="D217" i="17"/>
  <c r="E223" i="17"/>
  <c r="D223" i="17"/>
  <c r="E499" i="17"/>
  <c r="D499" i="17"/>
  <c r="E508" i="17"/>
  <c r="D508" i="17"/>
  <c r="D511" i="17"/>
  <c r="E511" i="17"/>
  <c r="E512" i="17"/>
  <c r="D512" i="17"/>
  <c r="D476" i="17"/>
  <c r="E476" i="17"/>
  <c r="D481" i="17"/>
  <c r="E481" i="17"/>
  <c r="D491" i="17"/>
  <c r="E491" i="17"/>
  <c r="E493" i="17"/>
  <c r="D493" i="17"/>
  <c r="D494" i="17"/>
  <c r="E494" i="17"/>
  <c r="D490" i="17"/>
  <c r="E490" i="17"/>
  <c r="D485" i="17"/>
  <c r="E485" i="17"/>
  <c r="D488" i="17"/>
  <c r="E488" i="17"/>
  <c r="D497" i="17"/>
  <c r="E497" i="17"/>
  <c r="D482" i="17"/>
  <c r="E482" i="17"/>
  <c r="D422" i="17"/>
  <c r="E422" i="17"/>
  <c r="D442" i="17"/>
  <c r="E442" i="17"/>
  <c r="E430" i="17"/>
  <c r="D430" i="17"/>
  <c r="E445" i="17"/>
  <c r="D445" i="17"/>
  <c r="D419" i="17"/>
  <c r="E419" i="17"/>
  <c r="E427" i="17"/>
  <c r="D427" i="17"/>
  <c r="D446" i="17"/>
  <c r="E446" i="17"/>
  <c r="D448" i="17"/>
  <c r="E448" i="17"/>
  <c r="E421" i="17"/>
  <c r="D421" i="17"/>
  <c r="E434" i="17"/>
  <c r="D434" i="17"/>
  <c r="E437" i="17"/>
  <c r="D437" i="17"/>
  <c r="D436" i="17"/>
  <c r="E436" i="17"/>
  <c r="E443" i="17"/>
  <c r="D443" i="17"/>
  <c r="E454" i="17"/>
  <c r="D454" i="17"/>
  <c r="D452" i="17"/>
  <c r="E452" i="17"/>
  <c r="D701" i="17"/>
  <c r="E701" i="17"/>
  <c r="D725" i="17"/>
  <c r="E725" i="17"/>
  <c r="E736" i="17"/>
  <c r="D736" i="17"/>
  <c r="D718" i="17"/>
  <c r="E718" i="17"/>
  <c r="D706" i="17"/>
  <c r="E706" i="17"/>
  <c r="D719" i="17"/>
  <c r="E719" i="17"/>
  <c r="E730" i="17"/>
  <c r="D730" i="17"/>
  <c r="E739" i="17"/>
  <c r="D739" i="17"/>
  <c r="E721" i="17"/>
  <c r="D721" i="17"/>
  <c r="D734" i="17"/>
  <c r="E734" i="17"/>
  <c r="E731" i="17"/>
  <c r="D731" i="17"/>
  <c r="D715" i="17"/>
  <c r="E715" i="17"/>
  <c r="E707" i="17"/>
  <c r="D707" i="17"/>
  <c r="D728" i="17"/>
  <c r="E728" i="17"/>
  <c r="D14" i="17"/>
  <c r="E14" i="17"/>
  <c r="E38" i="17"/>
  <c r="E25" i="17"/>
  <c r="D22" i="17"/>
  <c r="E22" i="17"/>
  <c r="D35" i="17"/>
  <c r="E44" i="17"/>
  <c r="E16" i="17"/>
  <c r="D16" i="17"/>
  <c r="E56" i="17"/>
  <c r="D56" i="17"/>
  <c r="D31" i="17"/>
  <c r="E31" i="17"/>
  <c r="E40" i="17"/>
  <c r="D40" i="17"/>
  <c r="E43" i="17"/>
  <c r="D43" i="17"/>
  <c r="D277" i="17"/>
  <c r="E274" i="17"/>
  <c r="D274" i="17"/>
  <c r="E269" i="17"/>
  <c r="E263" i="17"/>
  <c r="E245" i="17"/>
  <c r="D245" i="17"/>
  <c r="D248" i="17"/>
  <c r="E284" i="17"/>
  <c r="D262" i="17"/>
  <c r="E262" i="17"/>
  <c r="D260" i="17"/>
  <c r="E260" i="17"/>
  <c r="E257" i="17"/>
  <c r="D257" i="17"/>
  <c r="E272" i="17"/>
  <c r="D272" i="17"/>
  <c r="D148" i="17"/>
  <c r="E148" i="17"/>
  <c r="E131" i="17"/>
  <c r="D131" i="17"/>
  <c r="D160" i="17"/>
  <c r="E160" i="17"/>
  <c r="D158" i="17"/>
  <c r="D166" i="17"/>
  <c r="E166" i="17"/>
  <c r="D584" i="17"/>
  <c r="E584" i="17"/>
  <c r="D590" i="17"/>
  <c r="E617" i="17"/>
  <c r="D617" i="17"/>
  <c r="D619" i="17"/>
  <c r="D586" i="17"/>
  <c r="E586" i="17"/>
  <c r="D602" i="17"/>
  <c r="E592" i="17"/>
  <c r="D592" i="17"/>
  <c r="E614" i="17"/>
  <c r="E622" i="17"/>
  <c r="D622" i="17"/>
  <c r="D613" i="17"/>
  <c r="D626" i="17"/>
  <c r="E626" i="17"/>
  <c r="E610" i="17"/>
  <c r="D610" i="17"/>
  <c r="E598" i="17"/>
  <c r="D587" i="17"/>
  <c r="E587" i="17"/>
  <c r="D679" i="17"/>
  <c r="E679" i="17"/>
  <c r="E673" i="17"/>
  <c r="D673" i="17"/>
  <c r="D641" i="17"/>
  <c r="E641" i="17"/>
  <c r="E664" i="17"/>
  <c r="D664" i="17"/>
  <c r="E659" i="17"/>
  <c r="D659" i="17"/>
  <c r="D661" i="17"/>
  <c r="E661" i="17"/>
  <c r="E670" i="17"/>
  <c r="D670" i="17"/>
  <c r="D683" i="17"/>
  <c r="E683" i="17"/>
  <c r="E668" i="17"/>
  <c r="E680" i="17"/>
  <c r="D680" i="17"/>
  <c r="D643" i="17"/>
  <c r="E643" i="17"/>
  <c r="D653" i="17"/>
  <c r="E653" i="17"/>
  <c r="D671" i="17"/>
  <c r="E671" i="17"/>
  <c r="D769" i="17"/>
  <c r="E769" i="17"/>
  <c r="D785" i="17"/>
  <c r="E785" i="17"/>
  <c r="D797" i="17"/>
  <c r="E797" i="17"/>
  <c r="D779" i="17"/>
  <c r="E779" i="17"/>
  <c r="D767" i="17"/>
  <c r="D755" i="17"/>
  <c r="E755" i="17"/>
  <c r="E764" i="17"/>
  <c r="D764" i="17"/>
  <c r="E794" i="17"/>
  <c r="D794" i="17"/>
  <c r="E761" i="17"/>
  <c r="D761" i="17"/>
  <c r="D793" i="17"/>
  <c r="D844" i="17"/>
  <c r="E844" i="17"/>
  <c r="D847" i="17"/>
  <c r="E847" i="17"/>
  <c r="E817" i="17"/>
  <c r="E854" i="17"/>
  <c r="D854" i="17"/>
  <c r="E842" i="17"/>
  <c r="D842" i="17"/>
  <c r="E824" i="17"/>
  <c r="D824" i="17"/>
  <c r="E833" i="17"/>
  <c r="D815" i="17"/>
  <c r="E815" i="17"/>
  <c r="E845" i="17"/>
  <c r="D845" i="17"/>
  <c r="E814" i="17"/>
  <c r="D814" i="17"/>
  <c r="D838" i="17"/>
  <c r="E838" i="17"/>
  <c r="E898" i="17"/>
  <c r="D898" i="17"/>
  <c r="D904" i="17"/>
  <c r="E904" i="17"/>
  <c r="E899" i="17"/>
  <c r="D899" i="17"/>
  <c r="E905" i="17"/>
  <c r="D905" i="17"/>
  <c r="E911" i="17"/>
  <c r="E887" i="17"/>
  <c r="D887" i="17"/>
  <c r="D871" i="17"/>
  <c r="E871" i="17"/>
  <c r="E890" i="17"/>
  <c r="D890" i="17"/>
  <c r="E893" i="17"/>
  <c r="D893" i="17"/>
  <c r="E883" i="17"/>
  <c r="D883" i="17"/>
  <c r="E142" i="17" l="1"/>
  <c r="D256" i="17"/>
  <c r="D271" i="17"/>
  <c r="D259" i="17"/>
  <c r="D281" i="17"/>
  <c r="E413" i="17"/>
  <c r="E20" i="17"/>
  <c r="D46" i="17"/>
  <c r="E37" i="17"/>
  <c r="D53" i="17"/>
  <c r="E52" i="17"/>
  <c r="D128" i="17"/>
  <c r="E161" i="17"/>
  <c r="E164" i="17"/>
  <c r="D136" i="17"/>
  <c r="E266" i="17"/>
  <c r="D280" i="17"/>
  <c r="D283" i="17"/>
  <c r="E152" i="17"/>
  <c r="D145" i="17"/>
  <c r="E103" i="17"/>
  <c r="E49" i="17"/>
  <c r="D41" i="17"/>
  <c r="E55" i="17"/>
  <c r="D130" i="17"/>
  <c r="D23" i="17"/>
  <c r="D34" i="17"/>
  <c r="D17" i="17"/>
  <c r="E28" i="17"/>
  <c r="D26" i="17"/>
  <c r="E364" i="17"/>
  <c r="D376" i="17"/>
  <c r="E439" i="17"/>
  <c r="E431" i="17"/>
  <c r="D19" i="17"/>
  <c r="E50" i="17"/>
  <c r="E418" i="17"/>
  <c r="E155" i="17"/>
  <c r="E134" i="17"/>
  <c r="E143" i="17"/>
  <c r="D254" i="17"/>
  <c r="D244" i="17"/>
  <c r="E251" i="17"/>
  <c r="Y35" i="1"/>
  <c r="Y44" i="1"/>
  <c r="Y33" i="1"/>
  <c r="Y7" i="1"/>
  <c r="Y13" i="1"/>
  <c r="Y47" i="1"/>
  <c r="E370" i="17"/>
  <c r="E362" i="17"/>
  <c r="E301" i="17"/>
  <c r="D265" i="17"/>
  <c r="D154" i="17"/>
  <c r="D140" i="17"/>
  <c r="D149" i="17"/>
  <c r="D29" i="17"/>
  <c r="D85" i="17"/>
  <c r="D139" i="17"/>
  <c r="E247" i="17"/>
  <c r="D253" i="17"/>
  <c r="E365" i="17"/>
  <c r="D361" i="17"/>
  <c r="E428" i="17"/>
  <c r="E311" i="17"/>
  <c r="E310" i="17"/>
  <c r="D313" i="17"/>
  <c r="E80" i="17"/>
  <c r="D97" i="17"/>
  <c r="D374" i="17"/>
  <c r="D95" i="17"/>
  <c r="D71" i="17"/>
  <c r="D368" i="17"/>
  <c r="E98" i="17"/>
  <c r="E340" i="17"/>
  <c r="E133" i="17"/>
  <c r="E268" i="17"/>
  <c r="D250" i="17"/>
  <c r="D242" i="17"/>
  <c r="D425" i="17"/>
  <c r="E895" i="17"/>
  <c r="D910" i="17"/>
  <c r="D839" i="17"/>
  <c r="E796" i="17"/>
  <c r="D781" i="17"/>
  <c r="D880" i="17"/>
  <c r="D644" i="17"/>
  <c r="E907" i="17"/>
  <c r="D649" i="17"/>
  <c r="D151" i="17"/>
  <c r="D137" i="17"/>
  <c r="D563" i="17"/>
  <c r="D836" i="17"/>
  <c r="E790" i="17"/>
  <c r="E545" i="17"/>
  <c r="D872" i="17"/>
  <c r="D902" i="17"/>
  <c r="E901" i="17"/>
  <c r="D821" i="17"/>
  <c r="E812" i="17"/>
  <c r="E763" i="17"/>
  <c r="D773" i="17"/>
  <c r="E787" i="17"/>
  <c r="D650" i="17"/>
  <c r="E596" i="17"/>
  <c r="E875" i="17"/>
  <c r="D820" i="17"/>
  <c r="E829" i="17"/>
  <c r="D775" i="17"/>
  <c r="E665" i="17"/>
  <c r="D655" i="17"/>
  <c r="E667" i="17"/>
  <c r="E559" i="17"/>
  <c r="E566" i="17"/>
  <c r="E527" i="17"/>
  <c r="D532" i="17"/>
  <c r="E548" i="17"/>
  <c r="E356" i="17"/>
  <c r="E392" i="17"/>
  <c r="D367" i="17"/>
  <c r="D380" i="17"/>
  <c r="D373" i="17"/>
  <c r="E320" i="17"/>
  <c r="D869" i="17"/>
  <c r="D908" i="17"/>
  <c r="D874" i="17"/>
  <c r="D886" i="17"/>
  <c r="D835" i="17"/>
  <c r="D832" i="17"/>
  <c r="D776" i="17"/>
  <c r="D782" i="17"/>
  <c r="E758" i="17"/>
  <c r="D565" i="17"/>
  <c r="E322" i="17"/>
  <c r="D551" i="17"/>
  <c r="E371" i="17"/>
  <c r="D79" i="17"/>
  <c r="D88" i="17"/>
  <c r="D304" i="17"/>
  <c r="D299" i="17"/>
  <c r="E299" i="17"/>
  <c r="D323" i="17"/>
  <c r="E323" i="17"/>
  <c r="E539" i="17"/>
  <c r="E305" i="17"/>
  <c r="E319" i="17"/>
  <c r="D73" i="17"/>
  <c r="E383" i="17"/>
  <c r="D89" i="17"/>
  <c r="D317" i="17"/>
  <c r="E308" i="17"/>
  <c r="E325" i="17"/>
  <c r="E94" i="17"/>
  <c r="D74" i="17"/>
  <c r="E106" i="17"/>
  <c r="E538" i="17"/>
  <c r="D302" i="17"/>
  <c r="E302" i="17"/>
  <c r="E398" i="17"/>
  <c r="D398" i="17"/>
  <c r="D377" i="17"/>
  <c r="E359" i="17"/>
  <c r="E386" i="17"/>
  <c r="D341" i="17"/>
  <c r="E341" i="17"/>
  <c r="E316" i="17"/>
  <c r="D316" i="17"/>
  <c r="E335" i="17"/>
  <c r="D335" i="17"/>
  <c r="D331" i="17"/>
  <c r="E331" i="17"/>
  <c r="D550" i="17"/>
  <c r="E550" i="17"/>
  <c r="D107" i="17"/>
  <c r="E107" i="17"/>
  <c r="E101" i="17"/>
  <c r="D101" i="17"/>
  <c r="E113" i="17"/>
  <c r="D113" i="17"/>
  <c r="E109" i="17"/>
  <c r="D109" i="17"/>
  <c r="D82" i="17"/>
  <c r="E82" i="17"/>
  <c r="E385" i="17"/>
  <c r="D385" i="17"/>
  <c r="E334" i="17"/>
  <c r="D334" i="17"/>
  <c r="D110" i="17"/>
  <c r="E110" i="17"/>
  <c r="E77" i="17"/>
  <c r="D77" i="17"/>
  <c r="D397" i="17"/>
  <c r="E397" i="17"/>
  <c r="D541" i="17"/>
  <c r="E541" i="17"/>
  <c r="D332" i="17"/>
  <c r="E332" i="17"/>
  <c r="E338" i="17"/>
  <c r="D338" i="17"/>
  <c r="D329" i="17"/>
  <c r="E329" i="17"/>
  <c r="D328" i="17"/>
  <c r="E328" i="17"/>
  <c r="D554" i="17"/>
  <c r="E554" i="17"/>
  <c r="E91" i="17"/>
  <c r="D91" i="17"/>
  <c r="D100" i="17"/>
  <c r="E100" i="17"/>
  <c r="D76" i="17"/>
  <c r="E76" i="17"/>
  <c r="E83" i="17"/>
  <c r="D83" i="17"/>
  <c r="E394" i="17"/>
  <c r="D394" i="17"/>
  <c r="D391" i="17"/>
  <c r="E391" i="17"/>
  <c r="E337" i="17"/>
  <c r="D337" i="17"/>
  <c r="D112" i="17"/>
  <c r="E112" i="17"/>
  <c r="E86" i="17"/>
  <c r="D86" i="17"/>
  <c r="E388" i="17"/>
  <c r="D388" i="17"/>
  <c r="B6" i="11"/>
  <c r="M6" i="11" s="1"/>
  <c r="C6" i="11"/>
  <c r="C5" i="20" s="1"/>
  <c r="C3" i="21" s="1"/>
  <c r="Y17" i="1"/>
  <c r="Y20" i="1"/>
  <c r="Y16" i="1"/>
  <c r="Y45" i="1"/>
  <c r="Y41" i="1"/>
  <c r="B8" i="11"/>
  <c r="M8" i="11" s="1"/>
  <c r="B53" i="11"/>
  <c r="B19" i="20" s="1"/>
  <c r="C58" i="11"/>
  <c r="K58" i="11" s="1"/>
  <c r="B23" i="11"/>
  <c r="B181" i="20" s="1"/>
  <c r="C23" i="11"/>
  <c r="C181" i="20" s="1"/>
  <c r="C172" i="21" s="1"/>
  <c r="B43" i="11"/>
  <c r="M43" i="11" s="1"/>
  <c r="Y23" i="1"/>
  <c r="Y21" i="1"/>
  <c r="Y37" i="1"/>
  <c r="C36" i="11"/>
  <c r="K36" i="11" s="1"/>
  <c r="C9" i="11"/>
  <c r="K9" i="11" s="1"/>
  <c r="C17" i="11"/>
  <c r="K17" i="11" s="1"/>
  <c r="C41" i="11"/>
  <c r="C91" i="20" s="1"/>
  <c r="C86" i="21" s="1"/>
  <c r="C54" i="11"/>
  <c r="C23" i="20" s="1"/>
  <c r="C21" i="21" s="1"/>
  <c r="Y28" i="1"/>
  <c r="Y51" i="1"/>
  <c r="Y48" i="1"/>
  <c r="Y6" i="1"/>
  <c r="C16" i="11"/>
  <c r="C125" i="20" s="1"/>
  <c r="C119" i="21" s="1"/>
  <c r="B25" i="11"/>
  <c r="M25" i="11" s="1"/>
  <c r="C37" i="11"/>
  <c r="K37" i="11" s="1"/>
  <c r="C10" i="11"/>
  <c r="K10" i="11" s="1"/>
  <c r="C8" i="11"/>
  <c r="K8" i="11" s="1"/>
  <c r="C51" i="11"/>
  <c r="K51" i="11" s="1"/>
  <c r="C44" i="11"/>
  <c r="C155" i="20" s="1"/>
  <c r="C147" i="21" s="1"/>
  <c r="Y40" i="1"/>
  <c r="Y50" i="1"/>
  <c r="Y43" i="1"/>
  <c r="Y46" i="1"/>
  <c r="B48" i="11"/>
  <c r="M48" i="11" s="1"/>
  <c r="B13" i="11"/>
  <c r="M13" i="11" s="1"/>
  <c r="B15" i="11"/>
  <c r="B169" i="20" s="1"/>
  <c r="C39" i="11"/>
  <c r="K39" i="11" s="1"/>
  <c r="B10" i="11"/>
  <c r="M10" i="11" s="1"/>
  <c r="B38" i="11"/>
  <c r="B11" i="20" s="1"/>
  <c r="C48" i="11"/>
  <c r="C131" i="20" s="1"/>
  <c r="C125" i="21" s="1"/>
  <c r="C47" i="11"/>
  <c r="C163" i="20" s="1"/>
  <c r="C154" i="21" s="1"/>
  <c r="B39" i="11"/>
  <c r="M39" i="11" s="1"/>
  <c r="C40" i="11"/>
  <c r="C107" i="20" s="1"/>
  <c r="C101" i="21" s="1"/>
  <c r="B46" i="11"/>
  <c r="M46" i="11" s="1"/>
  <c r="C20" i="11"/>
  <c r="C173" i="20" s="1"/>
  <c r="C165" i="21" s="1"/>
  <c r="B47" i="11"/>
  <c r="M47" i="11" s="1"/>
  <c r="B17" i="11"/>
  <c r="B73" i="20" s="1"/>
  <c r="B21" i="11"/>
  <c r="B25" i="20" s="1"/>
  <c r="C7" i="11"/>
  <c r="K7" i="11" s="1"/>
  <c r="B20" i="11"/>
  <c r="M20" i="11" s="1"/>
  <c r="B52" i="11"/>
  <c r="B179" i="20" s="1"/>
  <c r="B40" i="11"/>
  <c r="M40" i="11" s="1"/>
  <c r="B58" i="11"/>
  <c r="M58" i="11" s="1"/>
  <c r="C57" i="11"/>
  <c r="K57" i="11" s="1"/>
  <c r="C46" i="11"/>
  <c r="C35" i="20" s="1"/>
  <c r="C33" i="21" s="1"/>
  <c r="C11" i="11"/>
  <c r="K11" i="11" s="1"/>
  <c r="C19" i="11"/>
  <c r="C121" i="20" s="1"/>
  <c r="C114" i="21" s="1"/>
  <c r="C32" i="11"/>
  <c r="C137" i="20" s="1"/>
  <c r="C131" i="21" s="1"/>
  <c r="B22" i="11"/>
  <c r="B17" i="20" s="1"/>
  <c r="B33" i="11"/>
  <c r="B61" i="20" s="1"/>
  <c r="B54" i="11"/>
  <c r="B23" i="20" s="1"/>
  <c r="B31" i="11"/>
  <c r="M31" i="11" s="1"/>
  <c r="B16" i="11"/>
  <c r="B125" i="20" s="1"/>
  <c r="C35" i="11"/>
  <c r="K35" i="11" s="1"/>
  <c r="B12" i="11"/>
  <c r="M12" i="11" s="1"/>
  <c r="C14" i="11"/>
  <c r="C29" i="20" s="1"/>
  <c r="C43" i="11"/>
  <c r="C139" i="20" s="1"/>
  <c r="C132" i="21" s="1"/>
  <c r="B24" i="11"/>
  <c r="B113" i="20" s="1"/>
  <c r="B14" i="11"/>
  <c r="B29" i="20" s="1"/>
  <c r="B36" i="11"/>
  <c r="M36" i="11" s="1"/>
  <c r="C25" i="11"/>
  <c r="K25" i="11" s="1"/>
  <c r="C34" i="11"/>
  <c r="C89" i="20" s="1"/>
  <c r="C85" i="21" s="1"/>
  <c r="B27" i="11"/>
  <c r="B133" i="20" s="1"/>
  <c r="B32" i="11"/>
  <c r="B137" i="20" s="1"/>
  <c r="C50" i="11"/>
  <c r="C83" i="20" s="1"/>
  <c r="C79" i="21" s="1"/>
  <c r="C21" i="11"/>
  <c r="K21" i="11" s="1"/>
  <c r="B19" i="11"/>
  <c r="M19" i="11" s="1"/>
  <c r="B29" i="11"/>
  <c r="B37" i="20" s="1"/>
  <c r="B175" i="20"/>
  <c r="C24" i="11"/>
  <c r="K24" i="11" s="1"/>
  <c r="C30" i="11"/>
  <c r="K30" i="11" s="1"/>
  <c r="C52" i="11"/>
  <c r="K52" i="11" s="1"/>
  <c r="B42" i="11"/>
  <c r="B11" i="11"/>
  <c r="B145" i="20" s="1"/>
  <c r="B50" i="11"/>
  <c r="B83" i="20" s="1"/>
  <c r="C27" i="11"/>
  <c r="K27" i="11" s="1"/>
  <c r="B30" i="11"/>
  <c r="B41" i="20" s="1"/>
  <c r="B57" i="11"/>
  <c r="M57" i="11" s="1"/>
  <c r="Y24" i="1"/>
  <c r="Y30" i="1"/>
  <c r="Y26" i="1"/>
  <c r="Y38" i="1"/>
  <c r="Y11" i="1"/>
  <c r="Y22" i="1"/>
  <c r="C45" i="11"/>
  <c r="K45" i="11" s="1"/>
  <c r="C18" i="11"/>
  <c r="K18" i="11" s="1"/>
  <c r="B45" i="11"/>
  <c r="M45" i="11" s="1"/>
  <c r="B44" i="11"/>
  <c r="B155" i="20" s="1"/>
  <c r="C22" i="11"/>
  <c r="K22" i="11" s="1"/>
  <c r="B28" i="11"/>
  <c r="M28" i="11" s="1"/>
  <c r="C53" i="11"/>
  <c r="C19" i="20" s="1"/>
  <c r="C16" i="21" s="1"/>
  <c r="C15" i="11"/>
  <c r="C169" i="20" s="1"/>
  <c r="C160" i="21" s="1"/>
  <c r="C31" i="11"/>
  <c r="C157" i="20" s="1"/>
  <c r="C148" i="21" s="1"/>
  <c r="C13" i="11"/>
  <c r="C49" i="20" s="1"/>
  <c r="C46" i="21" s="1"/>
  <c r="B9" i="11"/>
  <c r="B97" i="20" s="1"/>
  <c r="C29" i="11"/>
  <c r="C37" i="20" s="1"/>
  <c r="C34" i="21" s="1"/>
  <c r="B51" i="11"/>
  <c r="B115" i="20" s="1"/>
  <c r="B34" i="11"/>
  <c r="M34" i="11" s="1"/>
  <c r="C42" i="11"/>
  <c r="K42" i="11" s="1"/>
  <c r="C38" i="11"/>
  <c r="K38" i="11" s="1"/>
  <c r="B35" i="11"/>
  <c r="B109" i="20" s="1"/>
  <c r="B26" i="11"/>
  <c r="M26" i="11" s="1"/>
  <c r="C12" i="11"/>
  <c r="K12" i="11" s="1"/>
  <c r="C33" i="11"/>
  <c r="K33" i="11" s="1"/>
  <c r="C28" i="11"/>
  <c r="C161" i="20" s="1"/>
  <c r="C153" i="21" s="1"/>
  <c r="B49" i="11"/>
  <c r="M49" i="11" s="1"/>
  <c r="B37" i="11"/>
  <c r="M37" i="11" s="1"/>
  <c r="C49" i="11"/>
  <c r="K49" i="11" s="1"/>
  <c r="B41" i="11"/>
  <c r="B91" i="20" s="1"/>
  <c r="D90" i="20" s="1"/>
  <c r="C38" i="22" s="1"/>
  <c r="B18" i="11"/>
  <c r="M18" i="11" s="1"/>
  <c r="B7" i="11"/>
  <c r="B193" i="20" s="1"/>
  <c r="C26" i="11"/>
  <c r="C65" i="20" s="1"/>
  <c r="C61" i="21" s="1"/>
  <c r="B59" i="11"/>
  <c r="B127" i="20" s="1"/>
  <c r="C59" i="11"/>
  <c r="C127" i="20" s="1"/>
  <c r="C120" i="21" s="1"/>
  <c r="C56" i="11"/>
  <c r="C119" i="20" s="1"/>
  <c r="C113" i="21" s="1"/>
  <c r="B56" i="11"/>
  <c r="M56" i="11" s="1"/>
  <c r="Y15" i="1"/>
  <c r="Y9" i="1"/>
  <c r="Y42" i="1"/>
  <c r="Y31" i="1"/>
  <c r="Y29" i="1"/>
  <c r="Y8" i="1"/>
  <c r="Y36" i="1"/>
  <c r="Y55" i="1"/>
  <c r="Y19" i="1"/>
  <c r="Y34" i="1"/>
  <c r="Y58" i="1"/>
  <c r="Y10" i="1"/>
  <c r="Y27" i="1"/>
  <c r="M66" i="11"/>
  <c r="B95" i="20"/>
  <c r="K65" i="11"/>
  <c r="C55" i="20"/>
  <c r="C50" i="21" s="1"/>
  <c r="K63" i="11"/>
  <c r="C151" i="20"/>
  <c r="C142" i="21" s="1"/>
  <c r="M61" i="11"/>
  <c r="B31" i="20"/>
  <c r="M67" i="11"/>
  <c r="B103" i="20"/>
  <c r="M64" i="11"/>
  <c r="B143" i="20"/>
  <c r="M65" i="11"/>
  <c r="B55" i="20"/>
  <c r="M60" i="11"/>
  <c r="B167" i="20"/>
  <c r="K67" i="11"/>
  <c r="C103" i="20"/>
  <c r="C96" i="21" s="1"/>
  <c r="K62" i="11"/>
  <c r="C47" i="20"/>
  <c r="C45" i="21" s="1"/>
  <c r="K64" i="11"/>
  <c r="C143" i="20"/>
  <c r="C137" i="21" s="1"/>
  <c r="K60" i="11"/>
  <c r="C167" i="20"/>
  <c r="C159" i="21" s="1"/>
  <c r="K68" i="11"/>
  <c r="C191" i="20"/>
  <c r="C183" i="21" s="1"/>
  <c r="M63" i="11"/>
  <c r="B151" i="20"/>
  <c r="K61" i="11"/>
  <c r="C31" i="20"/>
  <c r="C28" i="21" s="1"/>
  <c r="M68" i="11"/>
  <c r="B191" i="20"/>
  <c r="M62" i="11"/>
  <c r="B47" i="20"/>
  <c r="K66" i="11"/>
  <c r="C95" i="20"/>
  <c r="C91" i="21" s="1"/>
  <c r="K69" i="11"/>
  <c r="C7" i="20"/>
  <c r="C4" i="21" s="1"/>
  <c r="M69" i="11"/>
  <c r="B7" i="20"/>
  <c r="H63" i="11"/>
  <c r="E68" i="11"/>
  <c r="I61" i="11"/>
  <c r="F66" i="11"/>
  <c r="I64" i="11"/>
  <c r="E65" i="11"/>
  <c r="G60" i="11"/>
  <c r="D65" i="11"/>
  <c r="H69" i="11"/>
  <c r="G65" i="11"/>
  <c r="F65" i="11"/>
  <c r="G63" i="11"/>
  <c r="F63" i="11"/>
  <c r="I63" i="11"/>
  <c r="F62" i="11"/>
  <c r="D67" i="11"/>
  <c r="F64" i="11"/>
  <c r="H67" i="11"/>
  <c r="I65" i="11"/>
  <c r="E69" i="11"/>
  <c r="G67" i="11"/>
  <c r="H61" i="11"/>
  <c r="H66" i="11"/>
  <c r="E61" i="11"/>
  <c r="H65" i="11"/>
  <c r="G66" i="11"/>
  <c r="G64" i="11"/>
  <c r="F60" i="11"/>
  <c r="G69" i="11"/>
  <c r="E62" i="11"/>
  <c r="H62" i="11"/>
  <c r="F61" i="11"/>
  <c r="D64" i="11"/>
  <c r="H68" i="11"/>
  <c r="E60" i="11"/>
  <c r="F69" i="11"/>
  <c r="H60" i="11"/>
  <c r="I69" i="11"/>
  <c r="I62" i="11"/>
  <c r="F67" i="11"/>
  <c r="E63" i="11"/>
  <c r="I67" i="11"/>
  <c r="I60" i="11"/>
  <c r="E64" i="11"/>
  <c r="D68" i="11"/>
  <c r="F68" i="11"/>
  <c r="G68" i="11"/>
  <c r="I68" i="11"/>
  <c r="D66" i="11"/>
  <c r="G62" i="11"/>
  <c r="E66" i="11"/>
  <c r="D63" i="11"/>
  <c r="G61" i="11"/>
  <c r="D69" i="11"/>
  <c r="E67" i="11"/>
  <c r="D61" i="11"/>
  <c r="D60" i="11"/>
  <c r="D62" i="11"/>
  <c r="H64" i="11"/>
  <c r="I66" i="11"/>
  <c r="D180" i="20" l="1"/>
  <c r="C73" i="22" s="1"/>
  <c r="K54" i="11"/>
  <c r="D6" i="20"/>
  <c r="C3" i="22" s="1"/>
  <c r="J6" i="11"/>
  <c r="D156" i="20"/>
  <c r="M53" i="11"/>
  <c r="J9" i="11"/>
  <c r="J7" i="11"/>
  <c r="J38" i="11"/>
  <c r="J54" i="11"/>
  <c r="J50" i="11"/>
  <c r="J46" i="11"/>
  <c r="J42" i="11"/>
  <c r="J34" i="11"/>
  <c r="J30" i="11"/>
  <c r="J26" i="11"/>
  <c r="J22" i="11"/>
  <c r="J18" i="11"/>
  <c r="J14" i="11"/>
  <c r="J10" i="11"/>
  <c r="J57" i="11"/>
  <c r="J53" i="11"/>
  <c r="J49" i="11"/>
  <c r="J45" i="11"/>
  <c r="J41" i="11"/>
  <c r="J37" i="11"/>
  <c r="J33" i="11"/>
  <c r="J29" i="11"/>
  <c r="J25" i="11"/>
  <c r="J21" i="11"/>
  <c r="J17" i="11"/>
  <c r="J13" i="11"/>
  <c r="J56" i="11"/>
  <c r="J52" i="11"/>
  <c r="J48" i="11"/>
  <c r="J44" i="11"/>
  <c r="J40" i="11"/>
  <c r="J36" i="11"/>
  <c r="J32" i="11"/>
  <c r="J28" i="11"/>
  <c r="J24" i="11"/>
  <c r="J20" i="11"/>
  <c r="J16" i="11"/>
  <c r="J12" i="11"/>
  <c r="J8" i="11"/>
  <c r="J51" i="11"/>
  <c r="J47" i="11"/>
  <c r="J43" i="11"/>
  <c r="J39" i="11"/>
  <c r="J35" i="11"/>
  <c r="J31" i="11"/>
  <c r="J27" i="11"/>
  <c r="J23" i="11"/>
  <c r="J19" i="11"/>
  <c r="J15" i="11"/>
  <c r="J11" i="11"/>
  <c r="D126" i="20"/>
  <c r="C52" i="22" s="1"/>
  <c r="D174" i="20"/>
  <c r="C72" i="22" s="1"/>
  <c r="H58" i="11"/>
  <c r="B5" i="20"/>
  <c r="I58" i="11"/>
  <c r="D58" i="11"/>
  <c r="B131" i="20"/>
  <c r="M15" i="11"/>
  <c r="C115" i="20"/>
  <c r="C108" i="21" s="1"/>
  <c r="E58" i="11"/>
  <c r="H39" i="11"/>
  <c r="M23" i="11"/>
  <c r="C53" i="20"/>
  <c r="C49" i="21" s="1"/>
  <c r="M30" i="11"/>
  <c r="G58" i="11"/>
  <c r="F58" i="11"/>
  <c r="C79" i="20"/>
  <c r="C74" i="21" s="1"/>
  <c r="B35" i="20"/>
  <c r="D36" i="20" s="1"/>
  <c r="C14" i="22" s="1"/>
  <c r="H6" i="11"/>
  <c r="K41" i="11"/>
  <c r="I6" i="11"/>
  <c r="D39" i="11"/>
  <c r="E47" i="11"/>
  <c r="M52" i="11"/>
  <c r="K6" i="11"/>
  <c r="F39" i="11"/>
  <c r="G6" i="11"/>
  <c r="E39" i="11"/>
  <c r="F6" i="11"/>
  <c r="E6" i="11"/>
  <c r="B53" i="20"/>
  <c r="C109" i="20"/>
  <c r="C102" i="21" s="1"/>
  <c r="B85" i="20"/>
  <c r="K48" i="11"/>
  <c r="C185" i="20"/>
  <c r="C177" i="21" s="1"/>
  <c r="K31" i="11"/>
  <c r="B185" i="20"/>
  <c r="C73" i="20"/>
  <c r="C68" i="21" s="1"/>
  <c r="B139" i="20"/>
  <c r="D138" i="20" s="1"/>
  <c r="C57" i="22" s="1"/>
  <c r="B121" i="20"/>
  <c r="B43" i="20"/>
  <c r="M9" i="11"/>
  <c r="D18" i="11"/>
  <c r="K19" i="11"/>
  <c r="K16" i="11"/>
  <c r="C71" i="20"/>
  <c r="C67" i="21" s="1"/>
  <c r="K46" i="11"/>
  <c r="M16" i="11"/>
  <c r="C13" i="20"/>
  <c r="C10" i="21" s="1"/>
  <c r="B149" i="20"/>
  <c r="B49" i="20"/>
  <c r="B161" i="20"/>
  <c r="M38" i="11"/>
  <c r="M29" i="11"/>
  <c r="B71" i="20"/>
  <c r="C187" i="20"/>
  <c r="C178" i="21" s="1"/>
  <c r="C85" i="20"/>
  <c r="C80" i="21" s="1"/>
  <c r="K23" i="11"/>
  <c r="B101" i="20"/>
  <c r="K20" i="11"/>
  <c r="B89" i="20"/>
  <c r="K40" i="11"/>
  <c r="C97" i="20"/>
  <c r="D96" i="20" s="1"/>
  <c r="C39" i="22" s="1"/>
  <c r="B65" i="20"/>
  <c r="M17" i="11"/>
  <c r="K44" i="11"/>
  <c r="C101" i="20"/>
  <c r="C95" i="21" s="1"/>
  <c r="C193" i="20"/>
  <c r="C184" i="21" s="1"/>
  <c r="E57" i="11"/>
  <c r="B79" i="20"/>
  <c r="D168" i="20"/>
  <c r="C68" i="22" s="1"/>
  <c r="K47" i="11"/>
  <c r="E40" i="11"/>
  <c r="I29" i="11"/>
  <c r="G25" i="11"/>
  <c r="H30" i="11"/>
  <c r="K13" i="11"/>
  <c r="C77" i="20"/>
  <c r="C73" i="21" s="1"/>
  <c r="C61" i="20"/>
  <c r="C56" i="21" s="1"/>
  <c r="I59" i="11"/>
  <c r="G57" i="11"/>
  <c r="F57" i="11"/>
  <c r="D23" i="11"/>
  <c r="E29" i="11"/>
  <c r="M35" i="11"/>
  <c r="M32" i="11"/>
  <c r="E15" i="11"/>
  <c r="K56" i="11"/>
  <c r="D38" i="11"/>
  <c r="I12" i="11"/>
  <c r="E23" i="11"/>
  <c r="B119" i="20"/>
  <c r="D120" i="20" s="1"/>
  <c r="C48" i="22" s="1"/>
  <c r="K59" i="11"/>
  <c r="G22" i="11"/>
  <c r="F17" i="11"/>
  <c r="H35" i="11"/>
  <c r="B77" i="20"/>
  <c r="H49" i="11"/>
  <c r="D26" i="11"/>
  <c r="I45" i="11"/>
  <c r="I47" i="11"/>
  <c r="H20" i="11"/>
  <c r="I20" i="11"/>
  <c r="F23" i="11"/>
  <c r="E20" i="11"/>
  <c r="G23" i="11"/>
  <c r="M54" i="11"/>
  <c r="M22" i="11"/>
  <c r="K43" i="11"/>
  <c r="M14" i="11"/>
  <c r="K29" i="11"/>
  <c r="K15" i="11"/>
  <c r="M44" i="11"/>
  <c r="B67" i="20"/>
  <c r="D66" i="20" s="1"/>
  <c r="C28" i="22" s="1"/>
  <c r="M27" i="11"/>
  <c r="C11" i="20"/>
  <c r="C9" i="21" s="1"/>
  <c r="M11" i="11"/>
  <c r="C113" i="20"/>
  <c r="C107" i="21" s="1"/>
  <c r="C25" i="20"/>
  <c r="C22" i="21" s="1"/>
  <c r="C133" i="20"/>
  <c r="C126" i="21" s="1"/>
  <c r="C179" i="20"/>
  <c r="C171" i="21" s="1"/>
  <c r="C175" i="20"/>
  <c r="C166" i="21" s="1"/>
  <c r="E59" i="11"/>
  <c r="D48" i="20"/>
  <c r="C19" i="22" s="1"/>
  <c r="I23" i="11"/>
  <c r="H27" i="11"/>
  <c r="E52" i="11"/>
  <c r="D49" i="11"/>
  <c r="D20" i="11"/>
  <c r="D29" i="11"/>
  <c r="K26" i="11"/>
  <c r="D47" i="11"/>
  <c r="H47" i="11"/>
  <c r="G47" i="11"/>
  <c r="F20" i="11"/>
  <c r="D45" i="11"/>
  <c r="H37" i="11"/>
  <c r="I21" i="11"/>
  <c r="F44" i="11"/>
  <c r="I10" i="11"/>
  <c r="D31" i="11"/>
  <c r="F19" i="11"/>
  <c r="H23" i="11"/>
  <c r="C67" i="20"/>
  <c r="C62" i="21" s="1"/>
  <c r="F47" i="11"/>
  <c r="F42" i="11"/>
  <c r="F51" i="11"/>
  <c r="F27" i="11"/>
  <c r="E12" i="11"/>
  <c r="F41" i="11"/>
  <c r="D16" i="11"/>
  <c r="H14" i="11"/>
  <c r="G48" i="11"/>
  <c r="I28" i="11"/>
  <c r="I48" i="11"/>
  <c r="I53" i="11"/>
  <c r="D12" i="11"/>
  <c r="D21" i="11"/>
  <c r="K14" i="11"/>
  <c r="B187" i="20"/>
  <c r="M24" i="11"/>
  <c r="K28" i="11"/>
  <c r="K32" i="11"/>
  <c r="C145" i="20"/>
  <c r="C138" i="21" s="1"/>
  <c r="K34" i="11"/>
  <c r="C43" i="20"/>
  <c r="C40" i="21" s="1"/>
  <c r="B107" i="20"/>
  <c r="M21" i="11"/>
  <c r="B163" i="20"/>
  <c r="D162" i="20" s="1"/>
  <c r="C67" i="22" s="1"/>
  <c r="K53" i="11"/>
  <c r="D59" i="11"/>
  <c r="G59" i="11"/>
  <c r="G56" i="11"/>
  <c r="D57" i="11"/>
  <c r="H57" i="11"/>
  <c r="I57" i="11"/>
  <c r="H56" i="11"/>
  <c r="E56" i="11"/>
  <c r="I56" i="11"/>
  <c r="M59" i="11"/>
  <c r="D24" i="11"/>
  <c r="I19" i="11"/>
  <c r="I15" i="11"/>
  <c r="G9" i="11"/>
  <c r="F18" i="11"/>
  <c r="G10" i="11"/>
  <c r="G33" i="11"/>
  <c r="G45" i="11"/>
  <c r="F26" i="11"/>
  <c r="F7" i="11"/>
  <c r="B173" i="20"/>
  <c r="M41" i="11"/>
  <c r="E35" i="11"/>
  <c r="F8" i="11"/>
  <c r="I44" i="11"/>
  <c r="D17" i="11"/>
  <c r="F54" i="11"/>
  <c r="E14" i="11"/>
  <c r="H48" i="11"/>
  <c r="H46" i="11"/>
  <c r="D14" i="11"/>
  <c r="F45" i="11"/>
  <c r="E13" i="11"/>
  <c r="G49" i="11"/>
  <c r="G18" i="11"/>
  <c r="F14" i="11"/>
  <c r="I30" i="11"/>
  <c r="H26" i="11"/>
  <c r="E31" i="11"/>
  <c r="E18" i="11"/>
  <c r="F13" i="11"/>
  <c r="E28" i="11"/>
  <c r="D22" i="11"/>
  <c r="I36" i="11"/>
  <c r="I27" i="11"/>
  <c r="E26" i="11"/>
  <c r="G34" i="11"/>
  <c r="D9" i="11"/>
  <c r="H34" i="11"/>
  <c r="G24" i="11"/>
  <c r="E46" i="11"/>
  <c r="F43" i="11"/>
  <c r="H12" i="11"/>
  <c r="E53" i="11"/>
  <c r="I39" i="11"/>
  <c r="D46" i="11"/>
  <c r="I18" i="11"/>
  <c r="E24" i="11"/>
  <c r="F48" i="11"/>
  <c r="D52" i="11"/>
  <c r="G37" i="11"/>
  <c r="I54" i="11"/>
  <c r="G15" i="11"/>
  <c r="I35" i="11"/>
  <c r="D51" i="11"/>
  <c r="I14" i="11"/>
  <c r="F22" i="11"/>
  <c r="H28" i="11"/>
  <c r="F9" i="11"/>
  <c r="E54" i="11"/>
  <c r="H15" i="11"/>
  <c r="D48" i="11"/>
  <c r="H29" i="11"/>
  <c r="I9" i="11"/>
  <c r="G44" i="11"/>
  <c r="E38" i="11"/>
  <c r="G50" i="11"/>
  <c r="D43" i="11"/>
  <c r="I31" i="11"/>
  <c r="H50" i="11"/>
  <c r="G38" i="11"/>
  <c r="H53" i="11"/>
  <c r="H54" i="11"/>
  <c r="E45" i="11"/>
  <c r="G35" i="11"/>
  <c r="I34" i="11"/>
  <c r="D34" i="11"/>
  <c r="H11" i="11"/>
  <c r="E48" i="11"/>
  <c r="G30" i="11"/>
  <c r="F31" i="11"/>
  <c r="D36" i="11"/>
  <c r="E11" i="11"/>
  <c r="I24" i="11"/>
  <c r="G14" i="11"/>
  <c r="D15" i="11"/>
  <c r="I38" i="11"/>
  <c r="D11" i="11"/>
  <c r="F24" i="11"/>
  <c r="E8" i="11"/>
  <c r="E37" i="11"/>
  <c r="F32" i="11"/>
  <c r="I16" i="11"/>
  <c r="G54" i="11"/>
  <c r="H21" i="11"/>
  <c r="F35" i="11"/>
  <c r="H44" i="11"/>
  <c r="H17" i="11"/>
  <c r="E51" i="11"/>
  <c r="H8" i="11"/>
  <c r="D37" i="11"/>
  <c r="I17" i="11"/>
  <c r="D10" i="11"/>
  <c r="H40" i="11"/>
  <c r="E21" i="11"/>
  <c r="H7" i="11"/>
  <c r="D33" i="11"/>
  <c r="F38" i="11"/>
  <c r="G21" i="11"/>
  <c r="I22" i="11"/>
  <c r="H42" i="11"/>
  <c r="G26" i="11"/>
  <c r="F53" i="11"/>
  <c r="E27" i="11"/>
  <c r="G17" i="11"/>
  <c r="H31" i="11"/>
  <c r="H24" i="11"/>
  <c r="D53" i="11"/>
  <c r="B59" i="20"/>
  <c r="M42" i="11"/>
  <c r="B157" i="20"/>
  <c r="M33" i="11"/>
  <c r="M51" i="11"/>
  <c r="C17" i="20"/>
  <c r="C15" i="21" s="1"/>
  <c r="K50" i="11"/>
  <c r="C41" i="20"/>
  <c r="C39" i="21" s="1"/>
  <c r="M50" i="11"/>
  <c r="C149" i="20"/>
  <c r="D150" i="20" s="1"/>
  <c r="C62" i="22" s="1"/>
  <c r="C59" i="20"/>
  <c r="C55" i="21" s="1"/>
  <c r="F59" i="11"/>
  <c r="H59" i="11"/>
  <c r="F56" i="11"/>
  <c r="D56" i="11"/>
  <c r="E17" i="11"/>
  <c r="D7" i="11"/>
  <c r="H18" i="11"/>
  <c r="G40" i="11"/>
  <c r="H36" i="11"/>
  <c r="I11" i="11"/>
  <c r="H38" i="11"/>
  <c r="D8" i="11"/>
  <c r="G51" i="11"/>
  <c r="D54" i="11"/>
  <c r="F29" i="11"/>
  <c r="I26" i="11"/>
  <c r="G36" i="11"/>
  <c r="D40" i="11"/>
  <c r="I49" i="11"/>
  <c r="I50" i="11"/>
  <c r="I7" i="11"/>
  <c r="H13" i="11"/>
  <c r="G11" i="11"/>
  <c r="H45" i="11"/>
  <c r="E16" i="11"/>
  <c r="B13" i="20"/>
  <c r="G46" i="11"/>
  <c r="F10" i="11"/>
  <c r="G13" i="11"/>
  <c r="G41" i="11"/>
  <c r="H32" i="11"/>
  <c r="I51" i="11"/>
  <c r="F21" i="11"/>
  <c r="G12" i="11"/>
  <c r="I46" i="11"/>
  <c r="E41" i="11"/>
  <c r="D13" i="11"/>
  <c r="G16" i="11"/>
  <c r="G19" i="11"/>
  <c r="G27" i="11"/>
  <c r="E30" i="11"/>
  <c r="E42" i="11"/>
  <c r="E9" i="11"/>
  <c r="H52" i="11"/>
  <c r="G28" i="11"/>
  <c r="D19" i="11"/>
  <c r="I52" i="11"/>
  <c r="I25" i="11"/>
  <c r="H10" i="11"/>
  <c r="D35" i="11"/>
  <c r="F37" i="11"/>
  <c r="D50" i="11"/>
  <c r="E43" i="11"/>
  <c r="D41" i="11"/>
  <c r="I40" i="11"/>
  <c r="D28" i="11"/>
  <c r="F49" i="11"/>
  <c r="F25" i="11"/>
  <c r="D27" i="11"/>
  <c r="D32" i="11"/>
  <c r="G8" i="11"/>
  <c r="D25" i="11"/>
  <c r="G31" i="11"/>
  <c r="H22" i="11"/>
  <c r="I43" i="11"/>
  <c r="I8" i="11"/>
  <c r="D44" i="11"/>
  <c r="I13" i="11"/>
  <c r="F12" i="11"/>
  <c r="H16" i="11"/>
  <c r="G43" i="11"/>
  <c r="I42" i="11"/>
  <c r="E44" i="11"/>
  <c r="E25" i="11"/>
  <c r="H9" i="11"/>
  <c r="E34" i="11"/>
  <c r="F15" i="11"/>
  <c r="E10" i="11"/>
  <c r="F46" i="11"/>
  <c r="F36" i="11"/>
  <c r="F34" i="11"/>
  <c r="G7" i="11"/>
  <c r="E22" i="11"/>
  <c r="E36" i="11"/>
  <c r="I33" i="11"/>
  <c r="E49" i="11"/>
  <c r="H19" i="11"/>
  <c r="F52" i="11"/>
  <c r="E50" i="11"/>
  <c r="I37" i="11"/>
  <c r="E33" i="11"/>
  <c r="F33" i="11"/>
  <c r="F50" i="11"/>
  <c r="H41" i="11"/>
  <c r="E7" i="11"/>
  <c r="H33" i="11"/>
  <c r="E19" i="11"/>
  <c r="G52" i="11"/>
  <c r="G53" i="11"/>
  <c r="E32" i="11"/>
  <c r="D42" i="11"/>
  <c r="G20" i="11"/>
  <c r="G32" i="11"/>
  <c r="I41" i="11"/>
  <c r="G39" i="11"/>
  <c r="D6" i="11"/>
  <c r="F11" i="11"/>
  <c r="G29" i="11"/>
  <c r="H43" i="11"/>
  <c r="F40" i="11"/>
  <c r="D30" i="11"/>
  <c r="F30" i="11"/>
  <c r="F28" i="11"/>
  <c r="G42" i="11"/>
  <c r="M7" i="11"/>
  <c r="H25" i="11"/>
  <c r="I32" i="11"/>
  <c r="F16" i="11"/>
  <c r="H51" i="11"/>
  <c r="D192" i="20"/>
  <c r="C78" i="22" s="1"/>
  <c r="D24" i="20"/>
  <c r="C9" i="22" s="1"/>
  <c r="D114" i="20"/>
  <c r="C47" i="22" s="1"/>
  <c r="D18" i="20"/>
  <c r="C8" i="22" s="1"/>
  <c r="D30" i="20"/>
  <c r="C27" i="21"/>
  <c r="C63" i="22"/>
  <c r="D60" i="20" l="1"/>
  <c r="C24" i="22" s="1"/>
  <c r="AA24" i="22" s="1"/>
  <c r="B24" i="22" s="1"/>
  <c r="D186" i="20"/>
  <c r="C77" i="22" s="1"/>
  <c r="AA77" i="22" s="1"/>
  <c r="B77" i="22" s="1"/>
  <c r="D108" i="20"/>
  <c r="C43" i="22" s="1"/>
  <c r="AA43" i="22" s="1"/>
  <c r="B43" i="22" s="1"/>
  <c r="D84" i="20"/>
  <c r="C34" i="22" s="1"/>
  <c r="AA34" i="22" s="1"/>
  <c r="B34" i="22" s="1"/>
  <c r="D12" i="20"/>
  <c r="F8" i="20" s="1"/>
  <c r="C3" i="23" s="1"/>
  <c r="Z39" i="22"/>
  <c r="A39" i="22" s="1"/>
  <c r="D42" i="20"/>
  <c r="C18" i="22" s="1"/>
  <c r="Z18" i="22" s="1"/>
  <c r="A18" i="22" s="1"/>
  <c r="AA3" i="21"/>
  <c r="A3" i="21" s="1"/>
  <c r="D78" i="20"/>
  <c r="C33" i="22" s="1"/>
  <c r="Z33" i="22" s="1"/>
  <c r="A33" i="22" s="1"/>
  <c r="D132" i="20"/>
  <c r="F128" i="20" s="1"/>
  <c r="C28" i="23" s="1"/>
  <c r="AA28" i="23" s="1"/>
  <c r="B28" i="23" s="1"/>
  <c r="D54" i="20"/>
  <c r="C23" i="22" s="1"/>
  <c r="AA23" i="22" s="1"/>
  <c r="B23" i="22" s="1"/>
  <c r="AA33" i="21"/>
  <c r="A33" i="21" s="1"/>
  <c r="AA3" i="22"/>
  <c r="B3" i="22" s="1"/>
  <c r="F176" i="20"/>
  <c r="C38" i="23" s="1"/>
  <c r="Z38" i="23" s="1"/>
  <c r="A38" i="23" s="1"/>
  <c r="AA95" i="21"/>
  <c r="A95" i="21" s="1"/>
  <c r="D72" i="20"/>
  <c r="C29" i="22" s="1"/>
  <c r="Z29" i="22" s="1"/>
  <c r="A29" i="22" s="1"/>
  <c r="AA39" i="21"/>
  <c r="A39" i="21" s="1"/>
  <c r="D144" i="20"/>
  <c r="F140" i="20" s="1"/>
  <c r="AA22" i="21"/>
  <c r="A22" i="21" s="1"/>
  <c r="AA113" i="21"/>
  <c r="A113" i="21" s="1"/>
  <c r="F164" i="20"/>
  <c r="C34" i="23" s="1"/>
  <c r="AB46" i="21"/>
  <c r="B46" i="21" s="1"/>
  <c r="AB91" i="21"/>
  <c r="B91" i="21" s="1"/>
  <c r="AB142" i="21"/>
  <c r="B142" i="21" s="1"/>
  <c r="Z23" i="22"/>
  <c r="A23" i="22" s="1"/>
  <c r="Z47" i="22"/>
  <c r="A47" i="22" s="1"/>
  <c r="AA154" i="21"/>
  <c r="A154" i="21" s="1"/>
  <c r="AB68" i="21"/>
  <c r="B68" i="21" s="1"/>
  <c r="AB3" i="21"/>
  <c r="B3" i="21" s="1"/>
  <c r="Z3" i="22"/>
  <c r="A3" i="22" s="1"/>
  <c r="AA48" i="22"/>
  <c r="B48" i="22" s="1"/>
  <c r="AB95" i="21"/>
  <c r="B95" i="21" s="1"/>
  <c r="AB131" i="21"/>
  <c r="B131" i="21" s="1"/>
  <c r="Z52" i="22"/>
  <c r="A52" i="22" s="1"/>
  <c r="AB107" i="21"/>
  <c r="B107" i="21" s="1"/>
  <c r="AA172" i="21"/>
  <c r="A172" i="21" s="1"/>
  <c r="AA49" i="21"/>
  <c r="A49" i="21" s="1"/>
  <c r="AA62" i="22"/>
  <c r="B62" i="22" s="1"/>
  <c r="AB138" i="21"/>
  <c r="B138" i="21" s="1"/>
  <c r="AB184" i="21"/>
  <c r="B184" i="21" s="1"/>
  <c r="AA40" i="21"/>
  <c r="A40" i="21" s="1"/>
  <c r="AB101" i="21"/>
  <c r="B101" i="21" s="1"/>
  <c r="AB177" i="21"/>
  <c r="B177" i="21" s="1"/>
  <c r="AA165" i="21"/>
  <c r="A165" i="21" s="1"/>
  <c r="AB56" i="21"/>
  <c r="B56" i="21" s="1"/>
  <c r="AA96" i="21"/>
  <c r="A96" i="21" s="1"/>
  <c r="AA131" i="21"/>
  <c r="A131" i="21" s="1"/>
  <c r="AA61" i="21"/>
  <c r="A61" i="21" s="1"/>
  <c r="AA153" i="21"/>
  <c r="A153" i="21" s="1"/>
  <c r="AA119" i="21"/>
  <c r="A119" i="21" s="1"/>
  <c r="AB148" i="21"/>
  <c r="B148" i="21" s="1"/>
  <c r="AA86" i="21"/>
  <c r="A86" i="21" s="1"/>
  <c r="C141" i="21"/>
  <c r="AA141" i="21" s="1"/>
  <c r="A141" i="21" s="1"/>
  <c r="AB55" i="21"/>
  <c r="B55" i="21" s="1"/>
  <c r="AA15" i="21"/>
  <c r="A15" i="21" s="1"/>
  <c r="Z67" i="22"/>
  <c r="A67" i="22" s="1"/>
  <c r="AB22" i="21"/>
  <c r="B22" i="21" s="1"/>
  <c r="AB40" i="21"/>
  <c r="B40" i="21" s="1"/>
  <c r="AA80" i="21"/>
  <c r="A80" i="21" s="1"/>
  <c r="Z73" i="22"/>
  <c r="A73" i="22" s="1"/>
  <c r="AA160" i="21"/>
  <c r="A160" i="21" s="1"/>
  <c r="AB73" i="21"/>
  <c r="B73" i="21" s="1"/>
  <c r="AA46" i="21"/>
  <c r="A46" i="21" s="1"/>
  <c r="AB119" i="21"/>
  <c r="B119" i="21" s="1"/>
  <c r="AB34" i="21"/>
  <c r="B34" i="21" s="1"/>
  <c r="AB62" i="21"/>
  <c r="B62" i="21" s="1"/>
  <c r="AB50" i="21"/>
  <c r="B50" i="21" s="1"/>
  <c r="AB86" i="21"/>
  <c r="B86" i="21" s="1"/>
  <c r="AB172" i="21"/>
  <c r="B172" i="21" s="1"/>
  <c r="AB147" i="21"/>
  <c r="B147" i="21" s="1"/>
  <c r="AB125" i="21"/>
  <c r="B125" i="21" s="1"/>
  <c r="Z38" i="22"/>
  <c r="A38" i="22" s="1"/>
  <c r="AA74" i="21"/>
  <c r="A74" i="21" s="1"/>
  <c r="AA177" i="21"/>
  <c r="A177" i="21" s="1"/>
  <c r="AA132" i="21"/>
  <c r="A132" i="21" s="1"/>
  <c r="AB61" i="21"/>
  <c r="B61" i="21" s="1"/>
  <c r="AB9" i="21"/>
  <c r="B9" i="21" s="1"/>
  <c r="AB154" i="21"/>
  <c r="B154" i="21" s="1"/>
  <c r="C92" i="21"/>
  <c r="AA92" i="21" s="1"/>
  <c r="A92" i="21" s="1"/>
  <c r="D102" i="20"/>
  <c r="C42" i="22" s="1"/>
  <c r="AA42" i="22" s="1"/>
  <c r="B42" i="22" s="1"/>
  <c r="AB39" i="21"/>
  <c r="B39" i="21" s="1"/>
  <c r="AA67" i="22"/>
  <c r="B67" i="22" s="1"/>
  <c r="Z28" i="22"/>
  <c r="A28" i="22" s="1"/>
  <c r="F92" i="20"/>
  <c r="C19" i="23" s="1"/>
  <c r="AA19" i="23" s="1"/>
  <c r="B19" i="23" s="1"/>
  <c r="AA68" i="21"/>
  <c r="A68" i="21" s="1"/>
  <c r="Z14" i="22"/>
  <c r="A14" i="22" s="1"/>
  <c r="AB160" i="21"/>
  <c r="B160" i="21" s="1"/>
  <c r="AA73" i="21"/>
  <c r="A73" i="21" s="1"/>
  <c r="AB132" i="21"/>
  <c r="B132" i="21" s="1"/>
  <c r="AB153" i="21"/>
  <c r="B153" i="21" s="1"/>
  <c r="AA85" i="21"/>
  <c r="A85" i="21" s="1"/>
  <c r="AB165" i="21"/>
  <c r="B165" i="21" s="1"/>
  <c r="AB15" i="21"/>
  <c r="B15" i="21" s="1"/>
  <c r="AA148" i="21"/>
  <c r="A148" i="21" s="1"/>
  <c r="Z72" i="22"/>
  <c r="A72" i="22" s="1"/>
  <c r="AA107" i="21"/>
  <c r="A107" i="21" s="1"/>
  <c r="AA9" i="21"/>
  <c r="A9" i="21" s="1"/>
  <c r="AA57" i="22"/>
  <c r="B57" i="22" s="1"/>
  <c r="AA38" i="22"/>
  <c r="B38" i="22" s="1"/>
  <c r="AB166" i="21"/>
  <c r="B166" i="21" s="1"/>
  <c r="AB85" i="21"/>
  <c r="B85" i="21" s="1"/>
  <c r="AA178" i="21"/>
  <c r="A178" i="21" s="1"/>
  <c r="AB183" i="21"/>
  <c r="B183" i="21" s="1"/>
  <c r="AB4" i="21"/>
  <c r="B4" i="21" s="1"/>
  <c r="AA28" i="21"/>
  <c r="A28" i="21" s="1"/>
  <c r="AA91" i="21"/>
  <c r="A91" i="21" s="1"/>
  <c r="AA16" i="21"/>
  <c r="A16" i="21" s="1"/>
  <c r="AB33" i="21"/>
  <c r="B33" i="21" s="1"/>
  <c r="AA114" i="21"/>
  <c r="A114" i="21" s="1"/>
  <c r="AA102" i="21"/>
  <c r="A102" i="21" s="1"/>
  <c r="AA28" i="22"/>
  <c r="B28" i="22" s="1"/>
  <c r="AB126" i="21"/>
  <c r="B126" i="21" s="1"/>
  <c r="AB178" i="21"/>
  <c r="B178" i="21" s="1"/>
  <c r="AB102" i="21"/>
  <c r="B102" i="21" s="1"/>
  <c r="AA34" i="21"/>
  <c r="A34" i="21" s="1"/>
  <c r="AA56" i="21"/>
  <c r="A56" i="21" s="1"/>
  <c r="AA62" i="21"/>
  <c r="A62" i="21" s="1"/>
  <c r="AA52" i="22"/>
  <c r="B52" i="22" s="1"/>
  <c r="AB137" i="21"/>
  <c r="B137" i="21" s="1"/>
  <c r="AB45" i="21"/>
  <c r="B45" i="21" s="1"/>
  <c r="AB114" i="21"/>
  <c r="B114" i="21" s="1"/>
  <c r="AA126" i="21"/>
  <c r="A126" i="21" s="1"/>
  <c r="AB79" i="21"/>
  <c r="B79" i="21" s="1"/>
  <c r="AA50" i="21"/>
  <c r="A50" i="21" s="1"/>
  <c r="AA125" i="21"/>
  <c r="A125" i="21" s="1"/>
  <c r="AB80" i="21"/>
  <c r="B80" i="21" s="1"/>
  <c r="AB159" i="21"/>
  <c r="B159" i="21" s="1"/>
  <c r="AA147" i="21"/>
  <c r="A147" i="21" s="1"/>
  <c r="AA101" i="21"/>
  <c r="A101" i="21" s="1"/>
  <c r="AB67" i="21"/>
  <c r="B67" i="21" s="1"/>
  <c r="AA8" i="22"/>
  <c r="B8" i="22" s="1"/>
  <c r="AA47" i="22"/>
  <c r="B47" i="22" s="1"/>
  <c r="AA55" i="21"/>
  <c r="A55" i="21" s="1"/>
  <c r="AA108" i="21"/>
  <c r="A108" i="21" s="1"/>
  <c r="AB49" i="21"/>
  <c r="B49" i="21" s="1"/>
  <c r="AA73" i="22"/>
  <c r="B73" i="22" s="1"/>
  <c r="AA14" i="22"/>
  <c r="B14" i="22" s="1"/>
  <c r="Z48" i="22"/>
  <c r="A48" i="22" s="1"/>
  <c r="AB108" i="21"/>
  <c r="B108" i="21" s="1"/>
  <c r="AB21" i="21"/>
  <c r="B21" i="21" s="1"/>
  <c r="AA79" i="21"/>
  <c r="A79" i="21" s="1"/>
  <c r="AB96" i="21"/>
  <c r="B96" i="21" s="1"/>
  <c r="AA4" i="21"/>
  <c r="A4" i="21" s="1"/>
  <c r="AA45" i="21"/>
  <c r="A45" i="21" s="1"/>
  <c r="AB28" i="21"/>
  <c r="B28" i="21" s="1"/>
  <c r="AB74" i="21"/>
  <c r="B74" i="21" s="1"/>
  <c r="AA137" i="21"/>
  <c r="A137" i="21" s="1"/>
  <c r="AA120" i="21"/>
  <c r="A120" i="21" s="1"/>
  <c r="AA171" i="21"/>
  <c r="A171" i="21" s="1"/>
  <c r="Z57" i="22"/>
  <c r="A57" i="22" s="1"/>
  <c r="AA166" i="21"/>
  <c r="A166" i="21" s="1"/>
  <c r="AA67" i="21"/>
  <c r="A67" i="21" s="1"/>
  <c r="AA159" i="21"/>
  <c r="A159" i="21" s="1"/>
  <c r="AB113" i="21"/>
  <c r="B113" i="21" s="1"/>
  <c r="AB16" i="21"/>
  <c r="B16" i="21" s="1"/>
  <c r="AB171" i="21"/>
  <c r="B171" i="21" s="1"/>
  <c r="AA72" i="22"/>
  <c r="B72" i="22" s="1"/>
  <c r="AA21" i="21"/>
  <c r="A21" i="21" s="1"/>
  <c r="AA183" i="21"/>
  <c r="A183" i="21" s="1"/>
  <c r="AB120" i="21"/>
  <c r="B120" i="21" s="1"/>
  <c r="AA142" i="21"/>
  <c r="A142" i="21" s="1"/>
  <c r="AA39" i="22"/>
  <c r="B39" i="22" s="1"/>
  <c r="Z62" i="22"/>
  <c r="A62" i="22" s="1"/>
  <c r="F152" i="20"/>
  <c r="C33" i="23" s="1"/>
  <c r="AA33" i="23" s="1"/>
  <c r="B33" i="23" s="1"/>
  <c r="AA184" i="21"/>
  <c r="A184" i="21" s="1"/>
  <c r="Z8" i="22"/>
  <c r="A8" i="22" s="1"/>
  <c r="F116" i="20"/>
  <c r="C24" i="23" s="1"/>
  <c r="AA24" i="23" s="1"/>
  <c r="B24" i="23" s="1"/>
  <c r="F20" i="20"/>
  <c r="C4" i="23" s="1"/>
  <c r="AA138" i="21"/>
  <c r="A138" i="21" s="1"/>
  <c r="AA27" i="21"/>
  <c r="A27" i="21" s="1"/>
  <c r="AB27" i="21"/>
  <c r="B27" i="21" s="1"/>
  <c r="AA10" i="21"/>
  <c r="A10" i="21" s="1"/>
  <c r="AB10" i="21"/>
  <c r="B10" i="21" s="1"/>
  <c r="C13" i="22"/>
  <c r="F32" i="20"/>
  <c r="C8" i="23" s="1"/>
  <c r="Z19" i="22"/>
  <c r="A19" i="22" s="1"/>
  <c r="AA19" i="22"/>
  <c r="B19" i="22" s="1"/>
  <c r="AA78" i="22"/>
  <c r="B78" i="22" s="1"/>
  <c r="Z78" i="22"/>
  <c r="A78" i="22" s="1"/>
  <c r="Z68" i="22"/>
  <c r="A68" i="22" s="1"/>
  <c r="AA68" i="22"/>
  <c r="B68" i="22" s="1"/>
  <c r="AA63" i="22"/>
  <c r="B63" i="22" s="1"/>
  <c r="Z63" i="22"/>
  <c r="A63" i="22" s="1"/>
  <c r="Z9" i="22"/>
  <c r="A9" i="22" s="1"/>
  <c r="AA9" i="22"/>
  <c r="B9" i="22" s="1"/>
  <c r="Z43" i="22" l="1"/>
  <c r="A43" i="22" s="1"/>
  <c r="Z77" i="22"/>
  <c r="A77" i="22" s="1"/>
  <c r="AA38" i="23"/>
  <c r="B38" i="23" s="1"/>
  <c r="Z34" i="22"/>
  <c r="A34" i="22" s="1"/>
  <c r="Z24" i="22"/>
  <c r="A24" i="22" s="1"/>
  <c r="F188" i="20"/>
  <c r="C39" i="23" s="1"/>
  <c r="Z39" i="23" s="1"/>
  <c r="A39" i="23" s="1"/>
  <c r="F80" i="20"/>
  <c r="C18" i="23" s="1"/>
  <c r="AA18" i="23" s="1"/>
  <c r="B18" i="23" s="1"/>
  <c r="AA29" i="22"/>
  <c r="B29" i="22" s="1"/>
  <c r="C4" i="22"/>
  <c r="Z4" i="22" s="1"/>
  <c r="A4" i="22" s="1"/>
  <c r="F44" i="20"/>
  <c r="C9" i="23" s="1"/>
  <c r="AA9" i="23" s="1"/>
  <c r="B9" i="23" s="1"/>
  <c r="AB141" i="21"/>
  <c r="B141" i="21" s="1"/>
  <c r="C58" i="22"/>
  <c r="AA58" i="22" s="1"/>
  <c r="B58" i="22" s="1"/>
  <c r="AA33" i="22"/>
  <c r="B33" i="22" s="1"/>
  <c r="F56" i="20"/>
  <c r="C13" i="23" s="1"/>
  <c r="Z13" i="23" s="1"/>
  <c r="A13" i="23" s="1"/>
  <c r="AA18" i="22"/>
  <c r="B18" i="22" s="1"/>
  <c r="C53" i="22"/>
  <c r="Z53" i="22" s="1"/>
  <c r="A53" i="22" s="1"/>
  <c r="Z28" i="23"/>
  <c r="A28" i="23" s="1"/>
  <c r="Z42" i="22"/>
  <c r="A42" i="22" s="1"/>
  <c r="F68" i="20"/>
  <c r="C14" i="23" s="1"/>
  <c r="Z14" i="23" s="1"/>
  <c r="A14" i="23" s="1"/>
  <c r="Z19" i="23"/>
  <c r="A19" i="23" s="1"/>
  <c r="AB92" i="21"/>
  <c r="B92" i="21" s="1"/>
  <c r="F104" i="20"/>
  <c r="C23" i="23" s="1"/>
  <c r="Z23" i="23" s="1"/>
  <c r="A23" i="23" s="1"/>
  <c r="Z24" i="23"/>
  <c r="A24" i="23" s="1"/>
  <c r="Z33" i="23"/>
  <c r="A33" i="23" s="1"/>
  <c r="H158" i="20"/>
  <c r="C18" i="24" s="1"/>
  <c r="AA18" i="24" s="1"/>
  <c r="B18" i="24" s="1"/>
  <c r="H14" i="20"/>
  <c r="C3" i="24" s="1"/>
  <c r="Z3" i="24" s="1"/>
  <c r="A3" i="24" s="1"/>
  <c r="C29" i="23"/>
  <c r="H134" i="20"/>
  <c r="AA8" i="23"/>
  <c r="B8" i="23" s="1"/>
  <c r="Z8" i="23"/>
  <c r="A8" i="23" s="1"/>
  <c r="Z3" i="23"/>
  <c r="A3" i="23" s="1"/>
  <c r="AA3" i="23"/>
  <c r="B3" i="23" s="1"/>
  <c r="AA13" i="22"/>
  <c r="B13" i="22" s="1"/>
  <c r="Z13" i="22"/>
  <c r="A13" i="22" s="1"/>
  <c r="Z4" i="23"/>
  <c r="A4" i="23" s="1"/>
  <c r="AA4" i="23"/>
  <c r="B4" i="23" s="1"/>
  <c r="Z34" i="23"/>
  <c r="A34" i="23" s="1"/>
  <c r="AA34" i="23"/>
  <c r="B34" i="23" s="1"/>
  <c r="AA39" i="23" l="1"/>
  <c r="B39" i="23" s="1"/>
  <c r="H182" i="20"/>
  <c r="C19" i="24" s="1"/>
  <c r="Z19" i="24" s="1"/>
  <c r="A19" i="24" s="1"/>
  <c r="AA4" i="22"/>
  <c r="B4" i="22" s="1"/>
  <c r="Z9" i="23"/>
  <c r="A9" i="23" s="1"/>
  <c r="AA23" i="23"/>
  <c r="B23" i="23" s="1"/>
  <c r="H86" i="20"/>
  <c r="C9" i="24" s="1"/>
  <c r="Z9" i="24" s="1"/>
  <c r="A9" i="24" s="1"/>
  <c r="Z18" i="23"/>
  <c r="A18" i="23" s="1"/>
  <c r="Z58" i="22"/>
  <c r="A58" i="22" s="1"/>
  <c r="AA14" i="23"/>
  <c r="B14" i="23" s="1"/>
  <c r="H38" i="20"/>
  <c r="C4" i="24" s="1"/>
  <c r="Z4" i="24" s="1"/>
  <c r="A4" i="24" s="1"/>
  <c r="H62" i="20"/>
  <c r="C8" i="24" s="1"/>
  <c r="AA8" i="24" s="1"/>
  <c r="B8" i="24" s="1"/>
  <c r="AA13" i="23"/>
  <c r="B13" i="23" s="1"/>
  <c r="H110" i="20"/>
  <c r="C13" i="24" s="1"/>
  <c r="Z13" i="24" s="1"/>
  <c r="A13" i="24" s="1"/>
  <c r="AA53" i="22"/>
  <c r="B53" i="22" s="1"/>
  <c r="AA3" i="24"/>
  <c r="B3" i="24" s="1"/>
  <c r="Z18" i="24"/>
  <c r="A18" i="24" s="1"/>
  <c r="C14" i="24"/>
  <c r="Z29" i="23"/>
  <c r="A29" i="23" s="1"/>
  <c r="AA29" i="23"/>
  <c r="B29" i="23" s="1"/>
  <c r="AA19" i="24" l="1"/>
  <c r="B19" i="24" s="1"/>
  <c r="AA4" i="24"/>
  <c r="B4" i="24" s="1"/>
  <c r="J26" i="20"/>
  <c r="L186" i="20" s="1"/>
  <c r="O14" i="20" s="1"/>
  <c r="J170" i="20"/>
  <c r="AA13" i="24"/>
  <c r="B13" i="24" s="1"/>
  <c r="AA9" i="24"/>
  <c r="B9" i="24" s="1"/>
  <c r="J122" i="20"/>
  <c r="J74" i="20"/>
  <c r="Z8" i="24"/>
  <c r="A8" i="24" s="1"/>
  <c r="Z14" i="24"/>
  <c r="A14" i="24" s="1"/>
  <c r="AA14" i="24"/>
  <c r="B14" i="24" s="1"/>
  <c r="L192" i="20" l="1"/>
  <c r="C21" i="25" s="1"/>
  <c r="C20" i="25"/>
  <c r="AA20" i="25" s="1"/>
  <c r="B20" i="25" s="1"/>
  <c r="L50" i="20"/>
  <c r="C14" i="25" s="1"/>
  <c r="Z14" i="25" s="1"/>
  <c r="A14" i="25" s="1"/>
  <c r="N188" i="20"/>
  <c r="O12" i="20" s="1"/>
  <c r="L146" i="20"/>
  <c r="Z20" i="25"/>
  <c r="A20" i="25" s="1"/>
  <c r="AA21" i="25"/>
  <c r="B21" i="25" s="1"/>
  <c r="Z21" i="25"/>
  <c r="A21" i="25" s="1"/>
  <c r="N98" i="20" l="1"/>
  <c r="O6" i="20" s="1"/>
  <c r="AA14" i="25"/>
  <c r="B14" i="25" s="1"/>
  <c r="O8" i="20"/>
  <c r="C15" i="25"/>
  <c r="AA15" i="25" s="1"/>
  <c r="B15" i="25" s="1"/>
  <c r="Z15" i="25" l="1"/>
  <c r="A15" i="25" s="1"/>
</calcChain>
</file>

<file path=xl/sharedStrings.xml><?xml version="1.0" encoding="utf-8"?>
<sst xmlns="http://schemas.openxmlformats.org/spreadsheetml/2006/main" count="843" uniqueCount="214">
  <si>
    <t>№</t>
    <phoneticPr fontId="2"/>
  </si>
  <si>
    <t>氏　　名</t>
  </si>
  <si>
    <t>出場登録選手名簿</t>
  </si>
  <si>
    <t>暫定
順位</t>
    <rPh sb="0" eb="2">
      <t>ザンテイ</t>
    </rPh>
    <rPh sb="3" eb="5">
      <t>ジュンイ</t>
    </rPh>
    <phoneticPr fontId="2"/>
  </si>
  <si>
    <t>1回戦</t>
    <rPh sb="1" eb="3">
      <t>カイセン</t>
    </rPh>
    <phoneticPr fontId="1"/>
  </si>
  <si>
    <t>勝敗</t>
    <rPh sb="0" eb="2">
      <t>ショウハイ</t>
    </rPh>
    <phoneticPr fontId="2"/>
  </si>
  <si>
    <t>選手署名</t>
    <rPh sb="0" eb="1">
      <t>セン</t>
    </rPh>
    <rPh sb="1" eb="2">
      <t>シュ</t>
    </rPh>
    <rPh sb="2" eb="4">
      <t>ショメイ</t>
    </rPh>
    <phoneticPr fontId="3"/>
  </si>
  <si>
    <t>学校名</t>
    <rPh sb="0" eb="2">
      <t>ガッコウ</t>
    </rPh>
    <rPh sb="2" eb="3">
      <t>メイ</t>
    </rPh>
    <phoneticPr fontId="2"/>
  </si>
  <si>
    <t>氏　　名</t>
    <phoneticPr fontId="2"/>
  </si>
  <si>
    <t>入力エラー判定BOX</t>
    <rPh sb="0" eb="2">
      <t>ニュウリョク</t>
    </rPh>
    <rPh sb="5" eb="7">
      <t>ハンテイ</t>
    </rPh>
    <phoneticPr fontId="2"/>
  </si>
  <si>
    <t>備考</t>
    <rPh sb="0" eb="2">
      <t>ビコウ</t>
    </rPh>
    <phoneticPr fontId="1"/>
  </si>
  <si>
    <t>所属</t>
    <rPh sb="0" eb="2">
      <t>ショゾク</t>
    </rPh>
    <phoneticPr fontId="1"/>
  </si>
  <si>
    <t>開催日</t>
    <rPh sb="0" eb="3">
      <t>カイサイビ</t>
    </rPh>
    <phoneticPr fontId="1"/>
  </si>
  <si>
    <t>番号</t>
    <phoneticPr fontId="2"/>
  </si>
  <si>
    <t>№</t>
    <phoneticPr fontId="2"/>
  </si>
  <si>
    <t>番
号</t>
    <phoneticPr fontId="2"/>
  </si>
  <si>
    <t>所属名</t>
    <rPh sb="0" eb="2">
      <t>ショゾク</t>
    </rPh>
    <rPh sb="2" eb="3">
      <t>ナ</t>
    </rPh>
    <phoneticPr fontId="2"/>
  </si>
  <si>
    <t>氏　　名</t>
    <phoneticPr fontId="2"/>
  </si>
  <si>
    <t>シード順位表</t>
    <rPh sb="3" eb="5">
      <t>ジュンイ</t>
    </rPh>
    <rPh sb="5" eb="6">
      <t>ヒョウ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</si>
  <si>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</si>
  <si>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</si>
  <si>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順</t>
    <rPh sb="0" eb="1">
      <t>ジュン</t>
    </rPh>
    <phoneticPr fontId="2"/>
  </si>
  <si>
    <t>試合</t>
    <rPh sb="0" eb="2">
      <t>シアイ</t>
    </rPh>
    <phoneticPr fontId="2"/>
  </si>
  <si>
    <t>突</t>
    <rPh sb="0" eb="1">
      <t>ツ</t>
    </rPh>
    <phoneticPr fontId="2"/>
  </si>
  <si>
    <t>被突</t>
    <rPh sb="0" eb="1">
      <t>ヒ</t>
    </rPh>
    <rPh sb="1" eb="2">
      <t>ツ</t>
    </rPh>
    <phoneticPr fontId="2"/>
  </si>
  <si>
    <t>M</t>
    <phoneticPr fontId="2"/>
  </si>
  <si>
    <t>V</t>
    <phoneticPr fontId="2"/>
  </si>
  <si>
    <t>V/M</t>
    <phoneticPr fontId="2"/>
  </si>
  <si>
    <t>勝数</t>
    <phoneticPr fontId="2"/>
  </si>
  <si>
    <t>勝率</t>
    <phoneticPr fontId="2"/>
  </si>
  <si>
    <t>氏名（よみ）</t>
    <phoneticPr fontId="1"/>
  </si>
  <si>
    <t>№</t>
    <phoneticPr fontId="1"/>
  </si>
  <si>
    <t>３位決定戦</t>
    <rPh sb="1" eb="2">
      <t>イ</t>
    </rPh>
    <rPh sb="2" eb="5">
      <t>ケッテイセン</t>
    </rPh>
    <phoneticPr fontId="3"/>
  </si>
  <si>
    <t>優勝</t>
    <rPh sb="0" eb="2">
      <t>ユウショウ</t>
    </rPh>
    <phoneticPr fontId="3"/>
  </si>
  <si>
    <t>3位</t>
    <rPh sb="1" eb="2">
      <t>イ</t>
    </rPh>
    <phoneticPr fontId="3"/>
  </si>
  <si>
    <t>試合
M</t>
    <phoneticPr fontId="2"/>
  </si>
  <si>
    <t>勝数
V</t>
    <phoneticPr fontId="2"/>
  </si>
  <si>
    <t>№</t>
    <phoneticPr fontId="2"/>
  </si>
  <si>
    <t>氏名</t>
    <rPh sb="0" eb="2">
      <t>シメイ</t>
    </rPh>
    <phoneticPr fontId="3"/>
  </si>
  <si>
    <t>所属</t>
    <rPh sb="0" eb="2">
      <t>ショゾク</t>
    </rPh>
    <phoneticPr fontId="3"/>
  </si>
  <si>
    <t>　　トーナメント対戦表</t>
    <rPh sb="8" eb="10">
      <t>タイセン</t>
    </rPh>
    <rPh sb="10" eb="11">
      <t>ヒョウ</t>
    </rPh>
    <phoneticPr fontId="3"/>
  </si>
  <si>
    <t>V</t>
    <phoneticPr fontId="3"/>
  </si>
  <si>
    <t>№</t>
    <phoneticPr fontId="3"/>
  </si>
  <si>
    <t>№</t>
    <phoneticPr fontId="3"/>
  </si>
  <si>
    <t>１回戦</t>
    <rPh sb="1" eb="3">
      <t>カイセン</t>
    </rPh>
    <phoneticPr fontId="3"/>
  </si>
  <si>
    <t>２回戦</t>
    <rPh sb="1" eb="3">
      <t>カイセン</t>
    </rPh>
    <phoneticPr fontId="3"/>
  </si>
  <si>
    <t>３回戦</t>
    <rPh sb="1" eb="3">
      <t>カイセン</t>
    </rPh>
    <phoneticPr fontId="3"/>
  </si>
  <si>
    <t>準々決勝（４回戦）</t>
    <rPh sb="0" eb="4">
      <t>ジュンジュンケッショウ</t>
    </rPh>
    <rPh sb="6" eb="8">
      <t>カイセン</t>
    </rPh>
    <phoneticPr fontId="3"/>
  </si>
  <si>
    <t>準決勝</t>
    <rPh sb="0" eb="3">
      <t>ジュンケッショウ</t>
    </rPh>
    <phoneticPr fontId="3"/>
  </si>
  <si>
    <t>決勝戦</t>
    <rPh sb="0" eb="3">
      <t>ケッショウセン</t>
    </rPh>
    <phoneticPr fontId="3"/>
  </si>
  <si>
    <t>三位決定戦</t>
    <rPh sb="0" eb="2">
      <t>サンイ</t>
    </rPh>
    <rPh sb="2" eb="5">
      <t>ケッテイセン</t>
    </rPh>
    <phoneticPr fontId="3"/>
  </si>
  <si>
    <t>２位</t>
    <rPh sb="1" eb="2">
      <t>イ</t>
    </rPh>
    <phoneticPr fontId="3"/>
  </si>
  <si>
    <t>３位</t>
    <rPh sb="1" eb="2">
      <t>イ</t>
    </rPh>
    <phoneticPr fontId="3"/>
  </si>
  <si>
    <t>４位</t>
    <rPh sb="1" eb="2">
      <t>イ</t>
    </rPh>
    <phoneticPr fontId="3"/>
  </si>
  <si>
    <t>セル幅調整用表示</t>
    <rPh sb="2" eb="3">
      <t>ハバ</t>
    </rPh>
    <rPh sb="3" eb="6">
      <t>チョウセイヨウ</t>
    </rPh>
    <rPh sb="6" eb="8">
      <t>ヒョウジ</t>
    </rPh>
    <phoneticPr fontId="13"/>
  </si>
  <si>
    <t>セルの幅調整用</t>
    <rPh sb="3" eb="4">
      <t>ハバ</t>
    </rPh>
    <rPh sb="4" eb="6">
      <t>チョウセイ</t>
    </rPh>
    <rPh sb="6" eb="7">
      <t>ヨウ</t>
    </rPh>
    <phoneticPr fontId="1"/>
  </si>
  <si>
    <t>セルの幅調整用に表示！</t>
    <rPh sb="3" eb="4">
      <t>ハバ</t>
    </rPh>
    <rPh sb="4" eb="6">
      <t>チョウセイ</t>
    </rPh>
    <rPh sb="6" eb="7">
      <t>ヨウ</t>
    </rPh>
    <rPh sb="8" eb="10">
      <t>ヒョウジ</t>
    </rPh>
    <phoneticPr fontId="1"/>
  </si>
  <si>
    <t>Ｐ</t>
    <phoneticPr fontId="2"/>
  </si>
  <si>
    <t>試合M</t>
    <phoneticPr fontId="2"/>
  </si>
  <si>
    <t>勝数V</t>
    <phoneticPr fontId="2"/>
  </si>
  <si>
    <t>中学男子</t>
    <rPh sb="0" eb="2">
      <t>チュウガク</t>
    </rPh>
    <rPh sb="2" eb="4">
      <t>ダンシ</t>
    </rPh>
    <phoneticPr fontId="1"/>
  </si>
  <si>
    <t>勝率
V/M</t>
    <phoneticPr fontId="2"/>
  </si>
  <si>
    <t>突差</t>
    <rPh sb="0" eb="1">
      <t>ツ</t>
    </rPh>
    <rPh sb="1" eb="2">
      <t>サ</t>
    </rPh>
    <phoneticPr fontId="2"/>
  </si>
  <si>
    <t>優先
順位</t>
    <rPh sb="0" eb="2">
      <t>ユウセン</t>
    </rPh>
    <rPh sb="3" eb="5">
      <t>ジュンイ</t>
    </rPh>
    <phoneticPr fontId="2"/>
  </si>
  <si>
    <t>セル幅調整用に表示</t>
    <rPh sb="2" eb="3">
      <t>ハバ</t>
    </rPh>
    <rPh sb="3" eb="6">
      <t>チョウセイヨウ</t>
    </rPh>
    <rPh sb="7" eb="9">
      <t>ヒョウジ</t>
    </rPh>
    <phoneticPr fontId="13"/>
  </si>
  <si>
    <t>v5</t>
    <phoneticPr fontId="2"/>
  </si>
  <si>
    <t>セル幅調整用</t>
    <rPh sb="2" eb="3">
      <t>ハバ</t>
    </rPh>
    <rPh sb="3" eb="5">
      <t>チョウセイ</t>
    </rPh>
    <rPh sb="5" eb="6">
      <t>ヨウ</t>
    </rPh>
    <phoneticPr fontId="1"/>
  </si>
  <si>
    <t>セル幅調整用の表示</t>
    <rPh sb="2" eb="3">
      <t>ハバ</t>
    </rPh>
    <rPh sb="3" eb="6">
      <t>チョウセイヨウ</t>
    </rPh>
    <rPh sb="7" eb="9">
      <t>ヒョウジ</t>
    </rPh>
    <phoneticPr fontId="13"/>
  </si>
  <si>
    <t>順位</t>
    <rPh sb="0" eb="2">
      <t>ジュンイ</t>
    </rPh>
    <phoneticPr fontId="2"/>
  </si>
  <si>
    <t>突
HS</t>
    <phoneticPr fontId="2"/>
  </si>
  <si>
    <t>被突
HR</t>
    <phoneticPr fontId="2"/>
  </si>
  <si>
    <t>突差
HS-HR</t>
    <rPh sb="1" eb="2">
      <t>サ</t>
    </rPh>
    <phoneticPr fontId="2"/>
  </si>
  <si>
    <t>記入</t>
    <rPh sb="0" eb="2">
      <t>キニュウ</t>
    </rPh>
    <phoneticPr fontId="3"/>
  </si>
  <si>
    <t>勝者 → v + 被突数</t>
    <rPh sb="0" eb="1">
      <t>カ</t>
    </rPh>
    <rPh sb="1" eb="2">
      <t>シャ</t>
    </rPh>
    <rPh sb="9" eb="10">
      <t>ヒ</t>
    </rPh>
    <rPh sb="10" eb="11">
      <t>ツ</t>
    </rPh>
    <rPh sb="11" eb="12">
      <t>スウ</t>
    </rPh>
    <phoneticPr fontId="3"/>
  </si>
  <si>
    <t>負者 → 突数</t>
    <rPh sb="0" eb="1">
      <t>マ</t>
    </rPh>
    <rPh sb="1" eb="2">
      <t>シャ</t>
    </rPh>
    <rPh sb="5" eb="6">
      <t>ツ</t>
    </rPh>
    <rPh sb="6" eb="7">
      <t>カズ</t>
    </rPh>
    <phoneticPr fontId="3"/>
  </si>
  <si>
    <t>HS</t>
    <phoneticPr fontId="2"/>
  </si>
  <si>
    <t>HS-HR</t>
    <phoneticPr fontId="2"/>
  </si>
  <si>
    <t>HR</t>
    <phoneticPr fontId="2"/>
  </si>
  <si>
    <t>第9回川本杯はしまモアフェンシング大会</t>
    <rPh sb="0" eb="1">
      <t>ダイ</t>
    </rPh>
    <rPh sb="2" eb="3">
      <t>カイ</t>
    </rPh>
    <rPh sb="3" eb="5">
      <t>カワモト</t>
    </rPh>
    <rPh sb="5" eb="6">
      <t>ハイ</t>
    </rPh>
    <rPh sb="17" eb="19">
      <t>タイカイ</t>
    </rPh>
    <phoneticPr fontId="1"/>
  </si>
  <si>
    <t>愛工大付属</t>
    <rPh sb="0" eb="3">
      <t>アイコウダイ</t>
    </rPh>
    <rPh sb="3" eb="5">
      <t>フゾク</t>
    </rPh>
    <phoneticPr fontId="2"/>
  </si>
  <si>
    <t>太田　拓輝</t>
    <rPh sb="0" eb="2">
      <t>オオタ</t>
    </rPh>
    <rPh sb="3" eb="4">
      <t>タク</t>
    </rPh>
    <rPh sb="4" eb="5">
      <t>キ</t>
    </rPh>
    <phoneticPr fontId="2"/>
  </si>
  <si>
    <t>田内　稜大</t>
    <rPh sb="0" eb="2">
      <t>タウチ</t>
    </rPh>
    <rPh sb="3" eb="5">
      <t>リョウタ</t>
    </rPh>
    <phoneticPr fontId="2"/>
  </si>
  <si>
    <t>河村　一摩</t>
    <rPh sb="0" eb="2">
      <t>カワムラ</t>
    </rPh>
    <rPh sb="3" eb="4">
      <t>イチ</t>
    </rPh>
    <rPh sb="4" eb="5">
      <t>マ</t>
    </rPh>
    <phoneticPr fontId="2"/>
  </si>
  <si>
    <t>福田　亮介</t>
    <rPh sb="0" eb="2">
      <t>フクダ</t>
    </rPh>
    <rPh sb="3" eb="5">
      <t>リョウスケ</t>
    </rPh>
    <phoneticPr fontId="2"/>
  </si>
  <si>
    <t>箕輪中学校</t>
    <rPh sb="0" eb="2">
      <t>ミノワ</t>
    </rPh>
    <rPh sb="2" eb="5">
      <t>チュウガッコウ</t>
    </rPh>
    <phoneticPr fontId="2"/>
  </si>
  <si>
    <t>中村　健人</t>
    <rPh sb="0" eb="2">
      <t>ナカムラ</t>
    </rPh>
    <rPh sb="3" eb="5">
      <t>ケント</t>
    </rPh>
    <phoneticPr fontId="2"/>
  </si>
  <si>
    <t>弓長　昇主</t>
    <rPh sb="0" eb="2">
      <t>ユミナガ</t>
    </rPh>
    <rPh sb="3" eb="4">
      <t>ノボル</t>
    </rPh>
    <rPh sb="4" eb="5">
      <t>ヌシ</t>
    </rPh>
    <phoneticPr fontId="2"/>
  </si>
  <si>
    <t>光が丘フェンシング</t>
    <rPh sb="0" eb="1">
      <t>ヒカリ</t>
    </rPh>
    <rPh sb="2" eb="3">
      <t>オカ</t>
    </rPh>
    <phoneticPr fontId="2"/>
  </si>
  <si>
    <t>黒澤　塁</t>
    <rPh sb="0" eb="2">
      <t>クロサワ</t>
    </rPh>
    <rPh sb="3" eb="4">
      <t>ルイ</t>
    </rPh>
    <phoneticPr fontId="2"/>
  </si>
  <si>
    <t>鈴木　統吾</t>
    <rPh sb="0" eb="2">
      <t>スズキ</t>
    </rPh>
    <rPh sb="3" eb="4">
      <t>トウ</t>
    </rPh>
    <rPh sb="4" eb="5">
      <t>ゴ</t>
    </rPh>
    <phoneticPr fontId="2"/>
  </si>
  <si>
    <t>法政大第二中学</t>
    <rPh sb="0" eb="2">
      <t>ホウセイ</t>
    </rPh>
    <rPh sb="2" eb="3">
      <t>ダイ</t>
    </rPh>
    <rPh sb="3" eb="5">
      <t>ダイニ</t>
    </rPh>
    <rPh sb="5" eb="6">
      <t>チュウ</t>
    </rPh>
    <rPh sb="6" eb="7">
      <t>ガク</t>
    </rPh>
    <phoneticPr fontId="2"/>
  </si>
  <si>
    <t>安井　琥珀</t>
    <rPh sb="0" eb="2">
      <t>ヤスイ</t>
    </rPh>
    <rPh sb="3" eb="5">
      <t>コハク</t>
    </rPh>
    <phoneticPr fontId="2"/>
  </si>
  <si>
    <t>奥田　玲大</t>
    <rPh sb="0" eb="2">
      <t>オクダ</t>
    </rPh>
    <rPh sb="3" eb="4">
      <t>レイ</t>
    </rPh>
    <rPh sb="4" eb="5">
      <t>ダイ</t>
    </rPh>
    <phoneticPr fontId="2"/>
  </si>
  <si>
    <t>長野ジュニア</t>
    <rPh sb="0" eb="2">
      <t>ナガノ</t>
    </rPh>
    <phoneticPr fontId="2"/>
  </si>
  <si>
    <t>登内　雄心</t>
    <rPh sb="0" eb="2">
      <t>トノウチ</t>
    </rPh>
    <rPh sb="3" eb="4">
      <t>ユウ</t>
    </rPh>
    <rPh sb="4" eb="5">
      <t>ココロ</t>
    </rPh>
    <phoneticPr fontId="2"/>
  </si>
  <si>
    <t>杉岡　瑞基</t>
    <rPh sb="0" eb="2">
      <t>スギオカ</t>
    </rPh>
    <rPh sb="3" eb="5">
      <t>ミズキ</t>
    </rPh>
    <phoneticPr fontId="2"/>
  </si>
  <si>
    <t>太田　智也</t>
    <rPh sb="0" eb="2">
      <t>オオタ</t>
    </rPh>
    <rPh sb="3" eb="5">
      <t>トモヤ</t>
    </rPh>
    <phoneticPr fontId="2"/>
  </si>
  <si>
    <t>速星中学校</t>
    <rPh sb="0" eb="1">
      <t>ハヤ</t>
    </rPh>
    <rPh sb="1" eb="5">
      <t>ホシチュウガッコウ</t>
    </rPh>
    <phoneticPr fontId="2"/>
  </si>
  <si>
    <t>濱崎　隼十</t>
    <rPh sb="0" eb="2">
      <t>ハマサキ</t>
    </rPh>
    <rPh sb="3" eb="4">
      <t>ハヤト</t>
    </rPh>
    <rPh sb="4" eb="5">
      <t>ジュウ</t>
    </rPh>
    <phoneticPr fontId="2"/>
  </si>
  <si>
    <t>小林　颯一</t>
    <rPh sb="0" eb="2">
      <t>コバヤシ</t>
    </rPh>
    <rPh sb="3" eb="5">
      <t>ソウイチ</t>
    </rPh>
    <phoneticPr fontId="2"/>
  </si>
  <si>
    <t>石川　凌</t>
    <rPh sb="0" eb="2">
      <t>イシカワ</t>
    </rPh>
    <rPh sb="3" eb="4">
      <t>リョウ</t>
    </rPh>
    <phoneticPr fontId="2"/>
  </si>
  <si>
    <t>廣野　惇奈</t>
    <rPh sb="0" eb="1">
      <t>ヒロ</t>
    </rPh>
    <rPh sb="1" eb="2">
      <t>ノ</t>
    </rPh>
    <rPh sb="3" eb="4">
      <t>ジュン</t>
    </rPh>
    <rPh sb="4" eb="5">
      <t>ナ</t>
    </rPh>
    <phoneticPr fontId="2"/>
  </si>
  <si>
    <t>長畑　知大</t>
    <rPh sb="0" eb="2">
      <t>ナガハタ</t>
    </rPh>
    <rPh sb="3" eb="4">
      <t>チ</t>
    </rPh>
    <rPh sb="4" eb="5">
      <t>ダイ</t>
    </rPh>
    <phoneticPr fontId="2"/>
  </si>
  <si>
    <t>飯田　龍基</t>
    <rPh sb="0" eb="2">
      <t>イイダ</t>
    </rPh>
    <rPh sb="3" eb="4">
      <t>リュウ</t>
    </rPh>
    <rPh sb="4" eb="5">
      <t>モトイ</t>
    </rPh>
    <phoneticPr fontId="2"/>
  </si>
  <si>
    <t>山岸　凜生</t>
    <rPh sb="0" eb="2">
      <t>ヤマギシ</t>
    </rPh>
    <rPh sb="3" eb="4">
      <t>リン</t>
    </rPh>
    <rPh sb="4" eb="5">
      <t>イ</t>
    </rPh>
    <phoneticPr fontId="2"/>
  </si>
  <si>
    <t>細川　唯人</t>
    <rPh sb="0" eb="2">
      <t>ホソカワ</t>
    </rPh>
    <rPh sb="3" eb="4">
      <t>ユイ</t>
    </rPh>
    <rPh sb="4" eb="5">
      <t>ヒト</t>
    </rPh>
    <phoneticPr fontId="2"/>
  </si>
  <si>
    <t>山崎　竜聖</t>
    <rPh sb="0" eb="2">
      <t>ヤマサキ</t>
    </rPh>
    <rPh sb="3" eb="5">
      <t>リュウセイ</t>
    </rPh>
    <phoneticPr fontId="2"/>
  </si>
  <si>
    <t>古市　直大</t>
    <rPh sb="0" eb="2">
      <t>フルイチ</t>
    </rPh>
    <rPh sb="3" eb="4">
      <t>ナオ</t>
    </rPh>
    <rPh sb="4" eb="5">
      <t>ダイ</t>
    </rPh>
    <phoneticPr fontId="2"/>
  </si>
  <si>
    <t>武生二中</t>
    <rPh sb="0" eb="4">
      <t>タケフニチュウ</t>
    </rPh>
    <phoneticPr fontId="2"/>
  </si>
  <si>
    <t>坂下　快斗</t>
    <rPh sb="0" eb="2">
      <t>サカシタ</t>
    </rPh>
    <rPh sb="3" eb="5">
      <t>カイト</t>
    </rPh>
    <phoneticPr fontId="2"/>
  </si>
  <si>
    <t>山本　雄飛</t>
    <rPh sb="0" eb="2">
      <t>ヤマモト</t>
    </rPh>
    <rPh sb="3" eb="4">
      <t>ユウ</t>
    </rPh>
    <rPh sb="4" eb="5">
      <t>ヒ</t>
    </rPh>
    <phoneticPr fontId="2"/>
  </si>
  <si>
    <t>大原　士侑</t>
    <rPh sb="0" eb="2">
      <t>オオハラ</t>
    </rPh>
    <rPh sb="3" eb="4">
      <t>シ</t>
    </rPh>
    <rPh sb="4" eb="5">
      <t>ユウ</t>
    </rPh>
    <phoneticPr fontId="2"/>
  </si>
  <si>
    <t>滋賀ＪＦＣ</t>
    <rPh sb="0" eb="5">
      <t>シガｊｆｃ</t>
    </rPh>
    <phoneticPr fontId="2"/>
  </si>
  <si>
    <t>保知　純乃介</t>
    <rPh sb="0" eb="1">
      <t>ホ</t>
    </rPh>
    <rPh sb="1" eb="2">
      <t>チ</t>
    </rPh>
    <rPh sb="3" eb="4">
      <t>ジュン</t>
    </rPh>
    <rPh sb="4" eb="5">
      <t>ノ</t>
    </rPh>
    <rPh sb="5" eb="6">
      <t>スケ</t>
    </rPh>
    <phoneticPr fontId="2"/>
  </si>
  <si>
    <t>白川　柊毅</t>
    <rPh sb="0" eb="2">
      <t>シラカワ</t>
    </rPh>
    <rPh sb="3" eb="4">
      <t>ヒイラギ</t>
    </rPh>
    <rPh sb="4" eb="5">
      <t>タケシ</t>
    </rPh>
    <phoneticPr fontId="2"/>
  </si>
  <si>
    <t>中村　駿太</t>
    <rPh sb="0" eb="2">
      <t>ナカムラ</t>
    </rPh>
    <rPh sb="3" eb="5">
      <t>シュンタ</t>
    </rPh>
    <phoneticPr fontId="2"/>
  </si>
  <si>
    <t>伊藤　真吾</t>
    <rPh sb="0" eb="2">
      <t>イトウ</t>
    </rPh>
    <rPh sb="3" eb="5">
      <t>シンゴ</t>
    </rPh>
    <phoneticPr fontId="2"/>
  </si>
  <si>
    <t>山口　倫生</t>
    <rPh sb="0" eb="2">
      <t>ヤマグチ</t>
    </rPh>
    <rPh sb="3" eb="4">
      <t>リン</t>
    </rPh>
    <rPh sb="4" eb="5">
      <t>イ</t>
    </rPh>
    <phoneticPr fontId="2"/>
  </si>
  <si>
    <t>堀　智貴</t>
    <rPh sb="0" eb="1">
      <t>ホリ</t>
    </rPh>
    <rPh sb="2" eb="3">
      <t>チ</t>
    </rPh>
    <rPh sb="3" eb="4">
      <t>キ</t>
    </rPh>
    <phoneticPr fontId="2"/>
  </si>
  <si>
    <t>永津　稜麻</t>
    <rPh sb="0" eb="2">
      <t>ナガツ</t>
    </rPh>
    <rPh sb="3" eb="4">
      <t>リョウ</t>
    </rPh>
    <rPh sb="4" eb="5">
      <t>アサ</t>
    </rPh>
    <phoneticPr fontId="2"/>
  </si>
  <si>
    <t>婦中ＪＦＣ</t>
    <rPh sb="0" eb="2">
      <t>フチュウ</t>
    </rPh>
    <phoneticPr fontId="2"/>
  </si>
  <si>
    <t>横山　慶汰</t>
    <rPh sb="0" eb="2">
      <t>ヨコヤマ</t>
    </rPh>
    <rPh sb="3" eb="4">
      <t>ケイ</t>
    </rPh>
    <rPh sb="4" eb="5">
      <t>タ</t>
    </rPh>
    <phoneticPr fontId="2"/>
  </si>
  <si>
    <t>南箕輪わくわく</t>
    <rPh sb="0" eb="3">
      <t>ミナミミノワ</t>
    </rPh>
    <phoneticPr fontId="2"/>
  </si>
  <si>
    <t>保科　幸作</t>
    <rPh sb="0" eb="2">
      <t>ホシナ</t>
    </rPh>
    <rPh sb="3" eb="5">
      <t>コウサク</t>
    </rPh>
    <phoneticPr fontId="2"/>
  </si>
  <si>
    <t>林　祥太郎</t>
    <rPh sb="0" eb="1">
      <t>ハヤシ</t>
    </rPh>
    <rPh sb="2" eb="5">
      <t>ショウタロウ</t>
    </rPh>
    <phoneticPr fontId="2"/>
  </si>
  <si>
    <t>河南町フェンシング</t>
    <rPh sb="0" eb="3">
      <t>カナンチョウ</t>
    </rPh>
    <phoneticPr fontId="2"/>
  </si>
  <si>
    <t>菊元　雪</t>
    <rPh sb="0" eb="2">
      <t>キクモト</t>
    </rPh>
    <rPh sb="3" eb="4">
      <t>ユキ</t>
    </rPh>
    <phoneticPr fontId="2"/>
  </si>
  <si>
    <t>富山パレス</t>
    <rPh sb="0" eb="2">
      <t>トヤマ</t>
    </rPh>
    <phoneticPr fontId="2"/>
  </si>
  <si>
    <t>藤野　正真</t>
    <rPh sb="0" eb="2">
      <t>フジノ</t>
    </rPh>
    <rPh sb="3" eb="5">
      <t>ショウマ</t>
    </rPh>
    <phoneticPr fontId="2"/>
  </si>
  <si>
    <t>高畠　龍斗</t>
    <rPh sb="0" eb="2">
      <t>タカハタ</t>
    </rPh>
    <rPh sb="3" eb="4">
      <t>リュウ</t>
    </rPh>
    <rPh sb="4" eb="5">
      <t>ト</t>
    </rPh>
    <phoneticPr fontId="2"/>
  </si>
  <si>
    <t>土田　龍也</t>
    <rPh sb="0" eb="2">
      <t>ツチタ</t>
    </rPh>
    <rPh sb="3" eb="4">
      <t>リュウ</t>
    </rPh>
    <rPh sb="4" eb="5">
      <t>ヤ</t>
    </rPh>
    <phoneticPr fontId="2"/>
  </si>
  <si>
    <t>篠田　真吾</t>
    <rPh sb="0" eb="2">
      <t>シノダ</t>
    </rPh>
    <rPh sb="3" eb="5">
      <t>シンゴ</t>
    </rPh>
    <phoneticPr fontId="2"/>
  </si>
  <si>
    <t>横浜フェンサーズ</t>
    <rPh sb="0" eb="2">
      <t>ヨコハマ</t>
    </rPh>
    <phoneticPr fontId="2"/>
  </si>
  <si>
    <t>柳原　健二郎</t>
    <rPh sb="0" eb="2">
      <t>ヤナギハラ</t>
    </rPh>
    <rPh sb="3" eb="6">
      <t>ケンジロウ</t>
    </rPh>
    <phoneticPr fontId="2"/>
  </si>
  <si>
    <t>杉並ジュニア</t>
    <rPh sb="0" eb="2">
      <t>スギナミ</t>
    </rPh>
    <phoneticPr fontId="2"/>
  </si>
  <si>
    <t>山﨑　貴史</t>
    <rPh sb="0" eb="2">
      <t>ヤマザキ</t>
    </rPh>
    <rPh sb="3" eb="4">
      <t>タカシ</t>
    </rPh>
    <rPh sb="4" eb="5">
      <t>シ</t>
    </rPh>
    <phoneticPr fontId="2"/>
  </si>
  <si>
    <t>養老ＦＣ</t>
    <rPh sb="0" eb="4">
      <t>ヨウロウｆｃ</t>
    </rPh>
    <phoneticPr fontId="2"/>
  </si>
  <si>
    <t>北川　虎侑</t>
    <rPh sb="0" eb="2">
      <t>キタガワ</t>
    </rPh>
    <rPh sb="3" eb="4">
      <t>トラ</t>
    </rPh>
    <rPh sb="4" eb="5">
      <t>ユウ</t>
    </rPh>
    <phoneticPr fontId="2"/>
  </si>
  <si>
    <t>大垣クラブ</t>
    <rPh sb="0" eb="2">
      <t>オオガキ</t>
    </rPh>
    <phoneticPr fontId="2"/>
  </si>
  <si>
    <t>國枝　契太</t>
    <rPh sb="0" eb="2">
      <t>クニエダ</t>
    </rPh>
    <rPh sb="3" eb="4">
      <t>ケイ</t>
    </rPh>
    <rPh sb="4" eb="5">
      <t>タ</t>
    </rPh>
    <phoneticPr fontId="2"/>
  </si>
  <si>
    <t>石橋　廉大</t>
    <rPh sb="0" eb="2">
      <t>イシバシ</t>
    </rPh>
    <rPh sb="3" eb="4">
      <t>レン</t>
    </rPh>
    <rPh sb="4" eb="5">
      <t>オオ</t>
    </rPh>
    <phoneticPr fontId="2"/>
  </si>
  <si>
    <t>光田　陽翔</t>
    <rPh sb="0" eb="2">
      <t>ミツダ</t>
    </rPh>
    <rPh sb="3" eb="5">
      <t>ハルト</t>
    </rPh>
    <phoneticPr fontId="2"/>
  </si>
  <si>
    <t>大橋　拓叶</t>
    <rPh sb="0" eb="2">
      <t>オオハシ</t>
    </rPh>
    <rPh sb="3" eb="4">
      <t>タク</t>
    </rPh>
    <rPh sb="4" eb="5">
      <t>カノウ</t>
    </rPh>
    <phoneticPr fontId="2"/>
  </si>
  <si>
    <t>今井　大河</t>
    <rPh sb="0" eb="2">
      <t>イマイ</t>
    </rPh>
    <rPh sb="3" eb="5">
      <t>タイガ</t>
    </rPh>
    <phoneticPr fontId="2"/>
  </si>
  <si>
    <t>木曽　瑞己</t>
    <rPh sb="0" eb="2">
      <t>キソ</t>
    </rPh>
    <rPh sb="3" eb="5">
      <t>ミズキ</t>
    </rPh>
    <phoneticPr fontId="2"/>
  </si>
  <si>
    <t>おおた　ひろき</t>
  </si>
  <si>
    <t>はしまモア</t>
  </si>
  <si>
    <t>たうち　りょうた</t>
  </si>
  <si>
    <t>かわむら　かずま</t>
  </si>
  <si>
    <t>ふくだ　りょうすけ</t>
  </si>
  <si>
    <t>なかむら　けんと</t>
  </si>
  <si>
    <t>ゆみなが　たかゆき</t>
  </si>
  <si>
    <t>くろさわ　るい</t>
  </si>
  <si>
    <t>ワセダクラブ</t>
  </si>
  <si>
    <t>すずき　とうご</t>
  </si>
  <si>
    <t>やすい　こはく</t>
  </si>
  <si>
    <t>おくだ　れお</t>
  </si>
  <si>
    <t>とのうち　ゆうじ</t>
  </si>
  <si>
    <t>すぎおか　みずき</t>
  </si>
  <si>
    <t>おおた　ともや</t>
  </si>
  <si>
    <t>はまさき　はやと</t>
  </si>
  <si>
    <t>こばやし　そういち</t>
  </si>
  <si>
    <t>いしかわ　りょう</t>
  </si>
  <si>
    <t>ひろの　じゅんな</t>
  </si>
  <si>
    <t>ながはた　ちひろ</t>
  </si>
  <si>
    <t>いいだ　りゅうき</t>
  </si>
  <si>
    <t>やまぎし　りお</t>
  </si>
  <si>
    <t>ほそかわ　ゆいと</t>
  </si>
  <si>
    <t>やまざき　りゅうせい</t>
  </si>
  <si>
    <t>アレ　フェンシング</t>
  </si>
  <si>
    <t>ふるいち　なおき</t>
  </si>
  <si>
    <t>さかした　かいと</t>
  </si>
  <si>
    <t>やまもと　ゆうひ</t>
  </si>
  <si>
    <t>SEIBUスポーツ</t>
  </si>
  <si>
    <t>おおはら　しゆう</t>
  </si>
  <si>
    <t>ぼち　じゅんのすけ</t>
  </si>
  <si>
    <t>しらかわ　とうた</t>
  </si>
  <si>
    <t>なかむら　しゅんた</t>
  </si>
  <si>
    <t>いとう　しんご</t>
  </si>
  <si>
    <t>やまぐち　ともき</t>
  </si>
  <si>
    <t>ほり　ともき　　</t>
  </si>
  <si>
    <t>ながつ　りょうま</t>
  </si>
  <si>
    <t>よこやま　けいた</t>
  </si>
  <si>
    <t>ほしな　こうさく</t>
  </si>
  <si>
    <t>はやし　しょうたろう</t>
  </si>
  <si>
    <t>きくもと　ゆき</t>
  </si>
  <si>
    <t>ふじの　しょうま</t>
  </si>
  <si>
    <t>たかはた　りゅうと</t>
  </si>
  <si>
    <t>つちだ　りょうや</t>
  </si>
  <si>
    <t>しのだ　しんご</t>
  </si>
  <si>
    <t>やなぎはらけんじろう</t>
  </si>
  <si>
    <t>やまざき　たかし</t>
  </si>
  <si>
    <t>きたがわ　こう</t>
  </si>
  <si>
    <t>くにえだ　けいた</t>
  </si>
  <si>
    <t>いしばし　れんた</t>
  </si>
  <si>
    <t>みつだ　はると</t>
  </si>
  <si>
    <t>たかはし　たくと</t>
  </si>
  <si>
    <t>いまい　たいが</t>
  </si>
  <si>
    <t>きそ　みずき</t>
  </si>
  <si>
    <t>v5</t>
    <phoneticPr fontId="2"/>
  </si>
  <si>
    <t>v5</t>
    <phoneticPr fontId="2"/>
  </si>
  <si>
    <t>v5</t>
    <phoneticPr fontId="2"/>
  </si>
  <si>
    <t>v5</t>
    <phoneticPr fontId="2"/>
  </si>
  <si>
    <t>v5</t>
    <phoneticPr fontId="2"/>
  </si>
  <si>
    <t>v5</t>
    <phoneticPr fontId="2"/>
  </si>
  <si>
    <t>v5</t>
    <phoneticPr fontId="2"/>
  </si>
  <si>
    <t>v5</t>
    <phoneticPr fontId="2"/>
  </si>
  <si>
    <t>v5</t>
    <phoneticPr fontId="2"/>
  </si>
  <si>
    <t>v3</t>
    <phoneticPr fontId="2"/>
  </si>
  <si>
    <t>v3</t>
    <phoneticPr fontId="2"/>
  </si>
  <si>
    <t>v5</t>
    <phoneticPr fontId="2"/>
  </si>
  <si>
    <t>v3</t>
    <phoneticPr fontId="2"/>
  </si>
  <si>
    <t>v4</t>
    <phoneticPr fontId="2"/>
  </si>
  <si>
    <t>v5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</si>
</sst>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&quot;計&quot;\ #,##0&quot;名&quot;"/>
    <numFmt numFmtId="178" formatCode="#,##0.000"/>
    <numFmt numFmtId="179" formatCode="#"/>
    <numFmt numFmtId="180" formatCode="0.000"/>
    <numFmt numFmtId="181" formatCode="[$-411]ggge&quot;年&quot;m&quot;月&quot;d&quot;日&quot;;@"/>
  </numFmts>
  <fonts count="33"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12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000099"/>
      <name val="ＭＳ Ｐゴシック"/>
      <family val="3"/>
      <charset val="128"/>
    </font>
    <font>
      <sz val="12"/>
      <color rgb="FF000099"/>
      <name val="ＭＳ Ｐゴシック"/>
      <family val="3"/>
      <charset val="128"/>
    </font>
    <font>
      <sz val="10"/>
      <color rgb="FF000099"/>
      <name val="ＭＳ Ｐゴシック"/>
      <family val="3"/>
      <charset val="128"/>
    </font>
    <font>
      <sz val="9"/>
      <color rgb="FF000099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0000FF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5FA"/>
        <bgColor indexed="64"/>
      </patternFill>
    </fill>
    <fill>
      <patternFill patternType="solid">
        <fgColor rgb="FFFFFAFA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3">
    <xf numFmtId="0" fontId="0" fillId="0" borderId="0"/>
    <xf numFmtId="0" fontId="6" fillId="0" borderId="0"/>
    <xf numFmtId="38" fontId="19" fillId="0" borderId="0" applyFont="0" applyFill="0" applyBorder="0" applyAlignment="0" applyProtection="0">
      <alignment vertical="center"/>
    </xf>
  </cellStyleXfs>
  <cellXfs count="369">
    <xf numFmtId="0" fontId="0" fillId="0" borderId="0" xfId="0"/>
    <xf numFmtId="0" fontId="6" fillId="0" borderId="0" xfId="0" applyFont="1" applyFill="1" applyAlignment="1" applyProtection="1"/>
    <xf numFmtId="0" fontId="6" fillId="0" borderId="20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 wrapText="1"/>
    </xf>
    <xf numFmtId="0" fontId="6" fillId="0" borderId="23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/>
    </xf>
    <xf numFmtId="180" fontId="6" fillId="0" borderId="2" xfId="0" applyNumberFormat="1" applyFont="1" applyFill="1" applyBorder="1" applyAlignment="1" applyProtection="1">
      <alignment horizontal="right"/>
    </xf>
    <xf numFmtId="0" fontId="6" fillId="0" borderId="24" xfId="0" applyNumberFormat="1" applyFont="1" applyFill="1" applyBorder="1" applyAlignment="1" applyProtection="1">
      <alignment horizontal="center"/>
    </xf>
    <xf numFmtId="0" fontId="6" fillId="0" borderId="25" xfId="0" applyNumberFormat="1" applyFont="1" applyFill="1" applyBorder="1" applyAlignment="1" applyProtection="1">
      <alignment horizontal="center"/>
    </xf>
    <xf numFmtId="180" fontId="6" fillId="0" borderId="10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80" fontId="7" fillId="0" borderId="0" xfId="0" applyNumberFormat="1" applyFont="1" applyFill="1" applyBorder="1" applyAlignment="1" applyProtection="1">
      <alignment horizontal="right"/>
    </xf>
    <xf numFmtId="0" fontId="9" fillId="0" borderId="22" xfId="0" applyFont="1" applyBorder="1" applyAlignment="1">
      <alignment horizontal="center" shrinkToFit="1"/>
    </xf>
    <xf numFmtId="0" fontId="9" fillId="0" borderId="22" xfId="0" applyFont="1" applyBorder="1" applyAlignment="1">
      <alignment horizontal="left" shrinkToFit="1"/>
    </xf>
    <xf numFmtId="0" fontId="9" fillId="0" borderId="0" xfId="0" applyFont="1" applyAlignment="1">
      <alignment horizontal="center" shrinkToFit="1"/>
    </xf>
    <xf numFmtId="0" fontId="9" fillId="0" borderId="26" xfId="0" applyFont="1" applyBorder="1" applyAlignment="1">
      <alignment horizontal="center" shrinkToFit="1"/>
    </xf>
    <xf numFmtId="0" fontId="9" fillId="0" borderId="21" xfId="0" applyFont="1" applyBorder="1" applyAlignment="1">
      <alignment horizontal="center" shrinkToFit="1"/>
    </xf>
    <xf numFmtId="0" fontId="9" fillId="0" borderId="27" xfId="0" applyFont="1" applyBorder="1" applyAlignment="1">
      <alignment horizontal="center" shrinkToFit="1"/>
    </xf>
    <xf numFmtId="0" fontId="9" fillId="0" borderId="26" xfId="0" applyFont="1" applyBorder="1" applyAlignment="1">
      <alignment shrinkToFit="1"/>
    </xf>
    <xf numFmtId="0" fontId="9" fillId="0" borderId="21" xfId="0" applyFont="1" applyBorder="1" applyAlignment="1">
      <alignment shrinkToFit="1"/>
    </xf>
    <xf numFmtId="0" fontId="9" fillId="0" borderId="27" xfId="0" applyFont="1" applyBorder="1" applyAlignment="1">
      <alignment shrinkToFit="1"/>
    </xf>
    <xf numFmtId="0" fontId="9" fillId="0" borderId="22" xfId="0" applyFont="1" applyBorder="1" applyAlignment="1">
      <alignment shrinkToFit="1"/>
    </xf>
    <xf numFmtId="0" fontId="9" fillId="0" borderId="0" xfId="0" applyFont="1" applyAlignment="1">
      <alignment shrinkToFit="1"/>
    </xf>
    <xf numFmtId="0" fontId="9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shrinkToFit="1"/>
    </xf>
    <xf numFmtId="0" fontId="9" fillId="0" borderId="28" xfId="0" applyFont="1" applyBorder="1" applyAlignment="1">
      <alignment horizontal="center" shrinkToFit="1"/>
    </xf>
    <xf numFmtId="0" fontId="9" fillId="0" borderId="28" xfId="0" applyFont="1" applyBorder="1" applyAlignment="1">
      <alignment shrinkToFit="1"/>
    </xf>
    <xf numFmtId="0" fontId="9" fillId="0" borderId="34" xfId="0" applyFont="1" applyBorder="1" applyAlignment="1">
      <alignment horizontal="center" shrinkToFit="1"/>
    </xf>
    <xf numFmtId="0" fontId="9" fillId="0" borderId="34" xfId="0" applyFont="1" applyBorder="1" applyAlignment="1">
      <alignment shrinkToFit="1"/>
    </xf>
    <xf numFmtId="0" fontId="9" fillId="0" borderId="35" xfId="0" applyFont="1" applyBorder="1" applyAlignment="1">
      <alignment horizontal="center" shrinkToFit="1"/>
    </xf>
    <xf numFmtId="0" fontId="9" fillId="0" borderId="35" xfId="0" applyFont="1" applyBorder="1" applyAlignment="1">
      <alignment shrinkToFit="1"/>
    </xf>
    <xf numFmtId="0" fontId="9" fillId="2" borderId="0" xfId="0" applyFont="1" applyFill="1" applyAlignment="1">
      <alignment shrinkToFit="1"/>
    </xf>
    <xf numFmtId="0" fontId="6" fillId="0" borderId="2" xfId="0" applyFont="1" applyBorder="1" applyAlignment="1" applyProtection="1">
      <alignment horizontal="left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left" vertical="center" shrinkToFit="1"/>
    </xf>
    <xf numFmtId="0" fontId="6" fillId="0" borderId="30" xfId="0" applyFont="1" applyBorder="1" applyAlignment="1" applyProtection="1">
      <alignment horizontal="left" vertical="center" shrinkToFit="1"/>
    </xf>
    <xf numFmtId="0" fontId="6" fillId="0" borderId="22" xfId="0" applyFont="1" applyFill="1" applyBorder="1" applyAlignment="1" applyProtection="1">
      <alignment horizontal="center"/>
    </xf>
    <xf numFmtId="0" fontId="6" fillId="0" borderId="37" xfId="0" applyFont="1" applyFill="1" applyBorder="1" applyAlignment="1" applyProtection="1">
      <alignment horizontal="left" shrinkToFit="1"/>
    </xf>
    <xf numFmtId="0" fontId="6" fillId="0" borderId="37" xfId="0" applyFont="1" applyFill="1" applyBorder="1" applyAlignment="1" applyProtection="1">
      <alignment horizontal="distributed" shrinkToFit="1"/>
    </xf>
    <xf numFmtId="0" fontId="6" fillId="0" borderId="2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left" shrinkToFit="1"/>
    </xf>
    <xf numFmtId="0" fontId="6" fillId="0" borderId="15" xfId="0" applyFont="1" applyFill="1" applyBorder="1" applyAlignment="1" applyProtection="1">
      <alignment horizontal="distributed" shrinkToFit="1"/>
    </xf>
    <xf numFmtId="0" fontId="6" fillId="0" borderId="10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left" shrinkToFit="1"/>
    </xf>
    <xf numFmtId="0" fontId="6" fillId="0" borderId="39" xfId="0" applyFont="1" applyFill="1" applyBorder="1" applyAlignment="1" applyProtection="1">
      <alignment horizontal="distributed" shrinkToFit="1"/>
    </xf>
    <xf numFmtId="0" fontId="7" fillId="0" borderId="0" xfId="0" applyFont="1" applyFill="1" applyAlignment="1" applyProtection="1">
      <alignment horizontal="left" shrinkToFit="1"/>
    </xf>
    <xf numFmtId="0" fontId="7" fillId="0" borderId="0" xfId="0" applyFont="1" applyFill="1" applyAlignment="1" applyProtection="1">
      <alignment horizontal="distributed" shrinkToFi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shrinkToFit="1"/>
    </xf>
    <xf numFmtId="0" fontId="7" fillId="0" borderId="0" xfId="0" applyFont="1" applyFill="1" applyBorder="1" applyAlignment="1" applyProtection="1">
      <alignment horizontal="distributed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 wrapText="1"/>
    </xf>
    <xf numFmtId="0" fontId="14" fillId="0" borderId="35" xfId="0" applyFont="1" applyFill="1" applyBorder="1" applyAlignment="1" applyProtection="1">
      <alignment horizontal="center" vertical="center" shrinkToFit="1"/>
    </xf>
    <xf numFmtId="0" fontId="11" fillId="0" borderId="0" xfId="0" applyFont="1" applyProtection="1"/>
    <xf numFmtId="0" fontId="5" fillId="0" borderId="0" xfId="0" applyFont="1" applyProtection="1"/>
    <xf numFmtId="0" fontId="6" fillId="0" borderId="2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left" vertical="center" shrinkToFit="1"/>
    </xf>
    <xf numFmtId="0" fontId="6" fillId="0" borderId="37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center" vertical="center" shrinkToFi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179" fontId="6" fillId="0" borderId="5" xfId="0" applyNumberFormat="1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179" fontId="6" fillId="0" borderId="14" xfId="0" applyNumberFormat="1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right" vertical="center"/>
    </xf>
    <xf numFmtId="178" fontId="6" fillId="0" borderId="0" xfId="0" applyNumberFormat="1" applyFont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179" fontId="6" fillId="0" borderId="7" xfId="0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right" vertical="center"/>
    </xf>
    <xf numFmtId="179" fontId="6" fillId="0" borderId="16" xfId="0" applyNumberFormat="1" applyFont="1" applyBorder="1" applyAlignment="1" applyProtection="1">
      <alignment horizontal="right" vertical="center"/>
    </xf>
    <xf numFmtId="0" fontId="6" fillId="0" borderId="17" xfId="0" applyFont="1" applyBorder="1" applyAlignment="1" applyProtection="1">
      <alignment horizontal="right" vertical="center"/>
    </xf>
    <xf numFmtId="0" fontId="12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 shrinkToFi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51" xfId="0" applyFont="1" applyFill="1" applyBorder="1" applyAlignment="1" applyProtection="1">
      <alignment horizontal="center" vertical="center"/>
    </xf>
    <xf numFmtId="179" fontId="6" fillId="0" borderId="11" xfId="0" applyNumberFormat="1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horizontal="right" vertical="center"/>
    </xf>
    <xf numFmtId="179" fontId="6" fillId="0" borderId="18" xfId="0" applyNumberFormat="1" applyFont="1" applyBorder="1" applyAlignment="1" applyProtection="1">
      <alignment horizontal="right" vertical="center"/>
    </xf>
    <xf numFmtId="0" fontId="6" fillId="0" borderId="19" xfId="0" applyFont="1" applyBorder="1" applyAlignment="1" applyProtection="1">
      <alignment horizontal="right"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left" shrinkToFit="1"/>
    </xf>
    <xf numFmtId="0" fontId="7" fillId="0" borderId="0" xfId="0" applyFont="1" applyAlignment="1" applyProtection="1">
      <alignment horizontal="center" shrinkToFi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80" fontId="7" fillId="0" borderId="0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left" shrinkToFit="1"/>
    </xf>
    <xf numFmtId="0" fontId="6" fillId="0" borderId="0" xfId="0" applyFont="1" applyAlignment="1" applyProtection="1">
      <alignment horizontal="center" shrinkToFi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 shrinkToFit="1"/>
    </xf>
    <xf numFmtId="0" fontId="4" fillId="0" borderId="0" xfId="0" applyNumberFormat="1" applyFont="1" applyFill="1" applyProtection="1"/>
    <xf numFmtId="0" fontId="15" fillId="0" borderId="0" xfId="0" applyFont="1" applyFill="1" applyProtection="1"/>
    <xf numFmtId="0" fontId="16" fillId="0" borderId="0" xfId="0" applyFont="1" applyFill="1" applyBorder="1" applyProtection="1"/>
    <xf numFmtId="181" fontId="16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Protection="1"/>
    <xf numFmtId="0" fontId="17" fillId="0" borderId="22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17" fillId="0" borderId="22" xfId="0" applyFont="1" applyFill="1" applyBorder="1" applyAlignment="1" applyProtection="1">
      <alignment horizontal="center" vertical="center" shrinkToFit="1"/>
    </xf>
    <xf numFmtId="0" fontId="17" fillId="0" borderId="22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35" xfId="0" applyFont="1" applyFill="1" applyBorder="1" applyAlignment="1" applyProtection="1">
      <alignment vertical="center" shrinkToFit="1"/>
    </xf>
    <xf numFmtId="0" fontId="18" fillId="0" borderId="35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shrinkToFit="1"/>
    </xf>
    <xf numFmtId="0" fontId="16" fillId="0" borderId="0" xfId="0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left" vertical="center" shrinkToFit="1"/>
    </xf>
    <xf numFmtId="0" fontId="17" fillId="0" borderId="2" xfId="0" applyFont="1" applyFill="1" applyBorder="1" applyProtection="1"/>
    <xf numFmtId="0" fontId="17" fillId="0" borderId="6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left" vertical="center" shrinkToFit="1"/>
    </xf>
    <xf numFmtId="0" fontId="17" fillId="0" borderId="6" xfId="0" applyFont="1" applyFill="1" applyBorder="1" applyProtection="1"/>
    <xf numFmtId="0" fontId="17" fillId="0" borderId="10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left" vertical="center" shrinkToFit="1"/>
    </xf>
    <xf numFmtId="0" fontId="17" fillId="0" borderId="10" xfId="0" applyFont="1" applyFill="1" applyBorder="1" applyProtection="1"/>
    <xf numFmtId="38" fontId="15" fillId="0" borderId="0" xfId="2" applyFont="1" applyFill="1" applyAlignment="1" applyProtection="1">
      <alignment vertical="center"/>
    </xf>
    <xf numFmtId="38" fontId="16" fillId="0" borderId="0" xfId="2" applyFont="1" applyFill="1" applyBorder="1" applyAlignment="1" applyProtection="1">
      <alignment horizontal="center"/>
    </xf>
    <xf numFmtId="38" fontId="17" fillId="0" borderId="0" xfId="2" applyFont="1" applyFill="1" applyBorder="1" applyAlignment="1" applyProtection="1">
      <alignment horizontal="center"/>
    </xf>
    <xf numFmtId="38" fontId="16" fillId="0" borderId="0" xfId="2" applyFont="1" applyFill="1" applyBorder="1" applyAlignment="1" applyProtection="1">
      <alignment horizontal="center" vertical="center"/>
    </xf>
    <xf numFmtId="38" fontId="16" fillId="0" borderId="0" xfId="2" applyFont="1" applyFill="1" applyBorder="1" applyAlignment="1" applyProtection="1"/>
    <xf numFmtId="38" fontId="17" fillId="0" borderId="44" xfId="2" applyFont="1" applyFill="1" applyBorder="1" applyAlignment="1" applyProtection="1"/>
    <xf numFmtId="0" fontId="9" fillId="0" borderId="0" xfId="0" applyFont="1" applyFill="1" applyAlignment="1" applyProtection="1">
      <alignment vertical="center"/>
    </xf>
    <xf numFmtId="177" fontId="21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23" fillId="0" borderId="35" xfId="0" applyFont="1" applyFill="1" applyBorder="1" applyAlignment="1" applyProtection="1">
      <alignment horizontal="center" vertical="center" shrinkToFit="1"/>
    </xf>
    <xf numFmtId="0" fontId="23" fillId="0" borderId="35" xfId="0" applyFont="1" applyFill="1" applyBorder="1" applyAlignment="1" applyProtection="1">
      <alignment vertical="center" shrinkToFit="1"/>
    </xf>
    <xf numFmtId="0" fontId="9" fillId="0" borderId="0" xfId="0" applyFont="1" applyFill="1" applyAlignment="1" applyProtection="1">
      <alignment vertical="center" shrinkToFit="1"/>
    </xf>
    <xf numFmtId="0" fontId="4" fillId="0" borderId="0" xfId="0" applyFont="1" applyFill="1" applyAlignment="1" applyProtection="1"/>
    <xf numFmtId="181" fontId="4" fillId="0" borderId="0" xfId="0" applyNumberFormat="1" applyFont="1" applyFill="1" applyBorder="1" applyAlignment="1" applyProtection="1">
      <alignment horizontal="right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 shrinkToFi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Continuous"/>
    </xf>
    <xf numFmtId="0" fontId="4" fillId="0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left" vertical="center" shrinkToFit="1"/>
    </xf>
    <xf numFmtId="0" fontId="4" fillId="0" borderId="15" xfId="0" applyFont="1" applyFill="1" applyBorder="1" applyAlignment="1" applyProtection="1">
      <alignment horizontal="distributed" vertical="center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179" fontId="4" fillId="0" borderId="5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180" fontId="4" fillId="0" borderId="2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24" fillId="0" borderId="41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</xf>
    <xf numFmtId="176" fontId="4" fillId="0" borderId="6" xfId="0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left" vertical="center" shrinkToFit="1"/>
    </xf>
    <xf numFmtId="0" fontId="4" fillId="0" borderId="17" xfId="0" applyFont="1" applyFill="1" applyBorder="1" applyAlignment="1" applyProtection="1">
      <alignment horizontal="distributed" vertical="center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176" fontId="4" fillId="0" borderId="17" xfId="0" applyNumberFormat="1" applyFont="1" applyFill="1" applyBorder="1" applyAlignment="1" applyProtection="1">
      <alignment horizontal="right" vertical="center"/>
    </xf>
    <xf numFmtId="179" fontId="4" fillId="0" borderId="7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right" vertical="center"/>
    </xf>
    <xf numFmtId="180" fontId="4" fillId="0" borderId="6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24" fillId="0" borderId="30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</xf>
    <xf numFmtId="176" fontId="4" fillId="0" borderId="30" xfId="0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left" vertical="center" shrinkToFit="1"/>
    </xf>
    <xf numFmtId="0" fontId="4" fillId="0" borderId="39" xfId="0" applyFont="1" applyFill="1" applyBorder="1" applyAlignment="1" applyProtection="1">
      <alignment horizontal="distributed" vertic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176" fontId="4" fillId="0" borderId="39" xfId="0" applyNumberFormat="1" applyFont="1" applyFill="1" applyBorder="1" applyAlignment="1" applyProtection="1">
      <alignment horizontal="right" vertical="center"/>
    </xf>
    <xf numFmtId="179" fontId="4" fillId="0" borderId="11" xfId="0" applyNumberFormat="1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horizontal="right" vertical="center"/>
    </xf>
    <xf numFmtId="180" fontId="4" fillId="0" borderId="30" xfId="0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right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25" fillId="0" borderId="35" xfId="0" applyFont="1" applyFill="1" applyBorder="1" applyAlignment="1" applyProtection="1">
      <alignment horizontal="center" vertical="center" shrinkToFit="1"/>
    </xf>
    <xf numFmtId="0" fontId="25" fillId="0" borderId="0" xfId="0" applyFont="1" applyFill="1" applyAlignment="1" applyProtection="1">
      <alignment horizontal="center"/>
    </xf>
    <xf numFmtId="0" fontId="25" fillId="0" borderId="0" xfId="0" applyNumberFormat="1" applyFont="1" applyFill="1" applyAlignment="1" applyProtection="1">
      <alignment horizontal="center"/>
    </xf>
    <xf numFmtId="176" fontId="4" fillId="0" borderId="14" xfId="0" applyNumberFormat="1" applyFont="1" applyFill="1" applyBorder="1" applyAlignment="1" applyProtection="1">
      <alignment horizontal="right" vertical="center"/>
    </xf>
    <xf numFmtId="176" fontId="4" fillId="0" borderId="16" xfId="0" applyNumberFormat="1" applyFont="1" applyFill="1" applyBorder="1" applyAlignment="1" applyProtection="1">
      <alignment horizontal="right" vertical="center"/>
    </xf>
    <xf numFmtId="176" fontId="4" fillId="0" borderId="57" xfId="0" applyNumberFormat="1" applyFont="1" applyFill="1" applyBorder="1" applyAlignment="1" applyProtection="1">
      <alignment horizontal="right" vertical="center"/>
    </xf>
    <xf numFmtId="3" fontId="4" fillId="0" borderId="2" xfId="0" applyNumberFormat="1" applyFont="1" applyFill="1" applyBorder="1" applyAlignment="1" applyProtection="1">
      <alignment horizontal="right" vertical="center"/>
    </xf>
    <xf numFmtId="3" fontId="4" fillId="0" borderId="6" xfId="0" applyNumberFormat="1" applyFont="1" applyFill="1" applyBorder="1" applyAlignment="1" applyProtection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left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 applyProtection="1">
      <alignment horizontal="left"/>
    </xf>
    <xf numFmtId="0" fontId="6" fillId="0" borderId="47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14" fillId="0" borderId="35" xfId="0" applyFont="1" applyFill="1" applyBorder="1" applyAlignment="1" applyProtection="1">
      <alignment horizontal="left" vertical="center" shrinkToFit="1"/>
    </xf>
    <xf numFmtId="0" fontId="6" fillId="0" borderId="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Alignment="1">
      <alignment horizontal="center"/>
    </xf>
    <xf numFmtId="0" fontId="26" fillId="0" borderId="0" xfId="0" applyFont="1" applyAlignment="1" applyProtection="1">
      <alignment horizont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181" fontId="20" fillId="3" borderId="31" xfId="0" applyNumberFormat="1" applyFont="1" applyFill="1" applyBorder="1" applyAlignment="1" applyProtection="1">
      <alignment horizontal="left" vertical="center"/>
      <protection locked="0"/>
    </xf>
    <xf numFmtId="0" fontId="28" fillId="4" borderId="58" xfId="0" applyFont="1" applyFill="1" applyBorder="1" applyAlignment="1" applyProtection="1">
      <alignment vertical="center" shrinkToFit="1"/>
    </xf>
    <xf numFmtId="0" fontId="28" fillId="4" borderId="61" xfId="0" applyFont="1" applyFill="1" applyBorder="1" applyAlignment="1" applyProtection="1">
      <alignment vertical="center" shrinkToFit="1"/>
    </xf>
    <xf numFmtId="0" fontId="30" fillId="0" borderId="0" xfId="0" applyFont="1" applyFill="1" applyBorder="1" applyAlignment="1" applyProtection="1">
      <alignment vertical="center"/>
    </xf>
    <xf numFmtId="0" fontId="30" fillId="0" borderId="0" xfId="0" applyFont="1" applyFill="1" applyProtection="1"/>
    <xf numFmtId="0" fontId="31" fillId="0" borderId="0" xfId="0" applyFont="1" applyFill="1" applyBorder="1" applyAlignment="1" applyProtection="1">
      <alignment vertical="center"/>
    </xf>
    <xf numFmtId="181" fontId="30" fillId="0" borderId="0" xfId="0" applyNumberFormat="1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 applyProtection="1">
      <alignment horizontal="left" vertical="center" shrinkToFit="1"/>
    </xf>
    <xf numFmtId="0" fontId="30" fillId="0" borderId="0" xfId="1" applyNumberFormat="1" applyFont="1" applyFill="1" applyBorder="1" applyAlignment="1" applyProtection="1">
      <alignment horizontal="left" vertical="center" shrinkToFit="1"/>
    </xf>
    <xf numFmtId="0" fontId="30" fillId="0" borderId="0" xfId="0" applyNumberFormat="1" applyFont="1" applyFill="1" applyAlignment="1" applyProtection="1">
      <alignment horizontal="left" indent="1" shrinkToFit="1"/>
    </xf>
    <xf numFmtId="0" fontId="31" fillId="0" borderId="35" xfId="0" applyFont="1" applyFill="1" applyBorder="1" applyAlignment="1" applyProtection="1">
      <alignment horizontal="left" vertical="center" shrinkToFit="1"/>
      <protection locked="0"/>
    </xf>
    <xf numFmtId="0" fontId="30" fillId="0" borderId="43" xfId="0" applyFont="1" applyFill="1" applyBorder="1" applyAlignment="1" applyProtection="1">
      <alignment horizontal="center" vertical="center" shrinkToFit="1"/>
    </xf>
    <xf numFmtId="0" fontId="30" fillId="0" borderId="35" xfId="1" applyNumberFormat="1" applyFont="1" applyFill="1" applyBorder="1" applyAlignment="1" applyProtection="1">
      <alignment horizontal="center" vertical="center" shrinkToFit="1"/>
    </xf>
    <xf numFmtId="0" fontId="30" fillId="0" borderId="35" xfId="1" applyNumberFormat="1" applyFont="1" applyFill="1" applyBorder="1" applyAlignment="1" applyProtection="1">
      <alignment horizontal="left" vertical="center" shrinkToFit="1"/>
    </xf>
    <xf numFmtId="0" fontId="31" fillId="0" borderId="0" xfId="0" applyFont="1" applyFill="1" applyBorder="1" applyAlignment="1" applyProtection="1">
      <alignment horizontal="left" vertical="center" shrinkToFit="1"/>
    </xf>
    <xf numFmtId="0" fontId="30" fillId="0" borderId="36" xfId="0" applyFont="1" applyFill="1" applyBorder="1" applyAlignment="1" applyProtection="1">
      <alignment horizontal="center" vertical="center" shrinkToFit="1"/>
    </xf>
    <xf numFmtId="0" fontId="30" fillId="0" borderId="31" xfId="1" applyNumberFormat="1" applyFont="1" applyFill="1" applyBorder="1" applyAlignment="1" applyProtection="1">
      <alignment horizontal="center" vertical="center" shrinkToFit="1"/>
    </xf>
    <xf numFmtId="0" fontId="30" fillId="0" borderId="31" xfId="1" applyNumberFormat="1" applyFont="1" applyFill="1" applyBorder="1" applyAlignment="1" applyProtection="1">
      <alignment horizontal="left" vertical="center" shrinkToFit="1"/>
    </xf>
    <xf numFmtId="0" fontId="30" fillId="0" borderId="36" xfId="0" applyFont="1" applyFill="1" applyBorder="1" applyAlignment="1" applyProtection="1">
      <alignment horizontal="left" vertical="center" shrinkToFit="1"/>
    </xf>
    <xf numFmtId="0" fontId="30" fillId="0" borderId="43" xfId="0" applyFont="1" applyFill="1" applyBorder="1" applyAlignment="1" applyProtection="1">
      <alignment horizontal="left" vertical="center" shrinkToFit="1"/>
    </xf>
    <xf numFmtId="0" fontId="30" fillId="0" borderId="0" xfId="0" applyFont="1" applyFill="1" applyBorder="1" applyProtection="1"/>
    <xf numFmtId="0" fontId="30" fillId="0" borderId="0" xfId="0" applyFont="1" applyFill="1" applyBorder="1" applyAlignment="1" applyProtection="1">
      <alignment horizontal="center" vertical="center" shrinkToFit="1"/>
    </xf>
    <xf numFmtId="0" fontId="30" fillId="0" borderId="36" xfId="1" applyNumberFormat="1" applyFont="1" applyFill="1" applyBorder="1" applyAlignment="1" applyProtection="1">
      <alignment horizontal="left" vertical="center" shrinkToFit="1"/>
    </xf>
    <xf numFmtId="0" fontId="30" fillId="0" borderId="35" xfId="0" applyFont="1" applyFill="1" applyBorder="1" applyProtection="1"/>
    <xf numFmtId="0" fontId="30" fillId="0" borderId="0" xfId="0" applyFont="1" applyFill="1" applyBorder="1" applyAlignment="1" applyProtection="1">
      <alignment horizontal="center" vertical="center"/>
    </xf>
    <xf numFmtId="0" fontId="30" fillId="0" borderId="36" xfId="0" applyFont="1" applyFill="1" applyBorder="1" applyProtection="1"/>
    <xf numFmtId="0" fontId="30" fillId="0" borderId="0" xfId="0" applyFont="1" applyFill="1" applyBorder="1" applyAlignment="1" applyProtection="1">
      <alignment horizontal="left"/>
    </xf>
    <xf numFmtId="0" fontId="30" fillId="0" borderId="36" xfId="0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horizontal="left" indent="1" shrinkToFit="1"/>
    </xf>
    <xf numFmtId="0" fontId="30" fillId="0" borderId="44" xfId="0" applyFont="1" applyFill="1" applyBorder="1" applyProtection="1"/>
    <xf numFmtId="0" fontId="30" fillId="0" borderId="19" xfId="0" applyFont="1" applyFill="1" applyBorder="1" applyAlignment="1" applyProtection="1">
      <alignment horizontal="left" vertical="center" shrinkToFit="1"/>
    </xf>
    <xf numFmtId="0" fontId="30" fillId="0" borderId="0" xfId="1" applyNumberFormat="1" applyFont="1" applyFill="1" applyBorder="1" applyAlignment="1" applyProtection="1">
      <alignment horizontal="center" vertical="center" shrinkToFit="1"/>
    </xf>
    <xf numFmtId="0" fontId="30" fillId="0" borderId="35" xfId="0" applyFont="1" applyFill="1" applyBorder="1" applyAlignment="1" applyProtection="1">
      <alignment vertical="center" shrinkToFit="1"/>
    </xf>
    <xf numFmtId="0" fontId="30" fillId="0" borderId="35" xfId="0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horizontal="center"/>
    </xf>
    <xf numFmtId="0" fontId="31" fillId="0" borderId="0" xfId="0" applyFont="1" applyFill="1" applyProtection="1"/>
    <xf numFmtId="0" fontId="30" fillId="0" borderId="0" xfId="0" applyFont="1" applyFill="1" applyAlignment="1" applyProtection="1">
      <alignment horizontal="left"/>
    </xf>
    <xf numFmtId="0" fontId="30" fillId="0" borderId="0" xfId="0" applyFont="1" applyFill="1" applyAlignment="1" applyProtection="1">
      <alignment horizontal="center"/>
    </xf>
    <xf numFmtId="0" fontId="23" fillId="0" borderId="22" xfId="0" applyFont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vertical="center"/>
      <protection locked="0"/>
    </xf>
    <xf numFmtId="0" fontId="9" fillId="0" borderId="31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31" xfId="0" applyFont="1" applyFill="1" applyBorder="1" applyProtection="1"/>
    <xf numFmtId="181" fontId="4" fillId="0" borderId="31" xfId="0" applyNumberFormat="1" applyFont="1" applyFill="1" applyBorder="1" applyAlignment="1" applyProtection="1">
      <alignment horizontal="right"/>
    </xf>
    <xf numFmtId="0" fontId="6" fillId="0" borderId="31" xfId="0" applyFont="1" applyBorder="1" applyAlignment="1">
      <alignment horizontal="left"/>
    </xf>
    <xf numFmtId="0" fontId="5" fillId="0" borderId="31" xfId="0" applyFont="1" applyBorder="1" applyAlignment="1" applyProtection="1">
      <alignment horizontal="left" shrinkToFit="1"/>
    </xf>
    <xf numFmtId="181" fontId="5" fillId="0" borderId="31" xfId="0" applyNumberFormat="1" applyFont="1" applyBorder="1" applyAlignment="1" applyProtection="1">
      <alignment horizontal="center"/>
    </xf>
    <xf numFmtId="0" fontId="6" fillId="0" borderId="42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28" fillId="4" borderId="62" xfId="0" applyFont="1" applyFill="1" applyBorder="1" applyAlignment="1" applyProtection="1">
      <alignment vertical="center" shrinkToFit="1"/>
    </xf>
    <xf numFmtId="0" fontId="28" fillId="4" borderId="63" xfId="0" applyFont="1" applyFill="1" applyBorder="1" applyAlignment="1" applyProtection="1">
      <alignment vertical="center" shrinkToFit="1"/>
    </xf>
    <xf numFmtId="0" fontId="11" fillId="0" borderId="0" xfId="0" applyFont="1" applyAlignment="1" applyProtection="1">
      <alignment vertical="center"/>
    </xf>
    <xf numFmtId="0" fontId="28" fillId="4" borderId="59" xfId="0" applyFont="1" applyFill="1" applyBorder="1" applyAlignment="1" applyProtection="1">
      <alignment vertical="center" shrinkToFit="1"/>
    </xf>
    <xf numFmtId="0" fontId="28" fillId="4" borderId="60" xfId="0" applyFont="1" applyFill="1" applyBorder="1" applyAlignment="1" applyProtection="1">
      <alignment vertical="center" shrinkToFit="1"/>
    </xf>
    <xf numFmtId="0" fontId="7" fillId="0" borderId="0" xfId="0" applyFont="1" applyAlignment="1" applyProtection="1">
      <alignment vertical="center"/>
    </xf>
    <xf numFmtId="0" fontId="17" fillId="0" borderId="22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horizontal="left" shrinkToFit="1"/>
    </xf>
    <xf numFmtId="181" fontId="16" fillId="0" borderId="31" xfId="0" applyNumberFormat="1" applyFont="1" applyFill="1" applyBorder="1" applyAlignment="1" applyProtection="1">
      <alignment horizontal="right"/>
    </xf>
    <xf numFmtId="0" fontId="32" fillId="0" borderId="48" xfId="0" applyFont="1" applyFill="1" applyBorder="1" applyAlignment="1" applyProtection="1">
      <alignment horizontal="center" vertical="center"/>
    </xf>
    <xf numFmtId="0" fontId="32" fillId="0" borderId="43" xfId="0" applyFont="1" applyFill="1" applyBorder="1" applyAlignment="1" applyProtection="1">
      <alignment horizontal="center" vertical="center"/>
    </xf>
    <xf numFmtId="0" fontId="32" fillId="0" borderId="44" xfId="0" applyFont="1" applyFill="1" applyBorder="1" applyAlignment="1" applyProtection="1">
      <alignment horizontal="center" vertical="center"/>
    </xf>
    <xf numFmtId="0" fontId="32" fillId="0" borderId="36" xfId="0" applyFont="1" applyFill="1" applyBorder="1" applyAlignment="1" applyProtection="1">
      <alignment horizontal="center" vertical="center"/>
    </xf>
    <xf numFmtId="0" fontId="32" fillId="0" borderId="18" xfId="0" applyFont="1" applyFill="1" applyBorder="1" applyAlignment="1" applyProtection="1">
      <alignment horizontal="center" vertical="center"/>
    </xf>
    <xf numFmtId="0" fontId="32" fillId="0" borderId="19" xfId="0" applyFont="1" applyFill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right" vertical="center"/>
    </xf>
    <xf numFmtId="0" fontId="30" fillId="0" borderId="36" xfId="0" applyFont="1" applyFill="1" applyBorder="1" applyAlignment="1" applyProtection="1">
      <alignment horizontal="right" vertical="center"/>
    </xf>
    <xf numFmtId="0" fontId="30" fillId="0" borderId="44" xfId="0" applyFont="1" applyFill="1" applyBorder="1" applyAlignment="1" applyProtection="1">
      <alignment horizontal="left" vertical="center" shrinkToFit="1"/>
      <protection locked="0"/>
    </xf>
    <xf numFmtId="0" fontId="30" fillId="0" borderId="48" xfId="0" applyFont="1" applyFill="1" applyBorder="1" applyAlignment="1" applyProtection="1">
      <alignment horizontal="center" vertical="center" shrinkToFit="1"/>
    </xf>
    <xf numFmtId="0" fontId="30" fillId="0" borderId="43" xfId="0" applyFont="1" applyFill="1" applyBorder="1" applyAlignment="1" applyProtection="1">
      <alignment horizontal="center" vertical="center" shrinkToFit="1"/>
    </xf>
    <xf numFmtId="0" fontId="30" fillId="0" borderId="44" xfId="0" applyFont="1" applyFill="1" applyBorder="1" applyAlignment="1" applyProtection="1">
      <alignment horizontal="center" vertical="center" shrinkToFit="1"/>
    </xf>
    <xf numFmtId="0" fontId="30" fillId="0" borderId="36" xfId="0" applyFont="1" applyFill="1" applyBorder="1" applyAlignment="1" applyProtection="1">
      <alignment horizontal="center" vertical="center" shrinkToFit="1"/>
    </xf>
    <xf numFmtId="0" fontId="30" fillId="0" borderId="18" xfId="0" applyFont="1" applyFill="1" applyBorder="1" applyAlignment="1" applyProtection="1">
      <alignment horizontal="center" vertical="center" shrinkToFit="1"/>
    </xf>
    <xf numFmtId="0" fontId="30" fillId="0" borderId="19" xfId="0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0" borderId="31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Protection="1"/>
    <xf numFmtId="0" fontId="30" fillId="0" borderId="31" xfId="0" applyFont="1" applyFill="1" applyBorder="1" applyProtection="1"/>
    <xf numFmtId="0" fontId="30" fillId="0" borderId="48" xfId="0" applyFont="1" applyFill="1" applyBorder="1" applyAlignment="1" applyProtection="1">
      <alignment horizontal="left" vertical="center" shrinkToFit="1"/>
      <protection locked="0"/>
    </xf>
    <xf numFmtId="0" fontId="30" fillId="0" borderId="47" xfId="1" applyNumberFormat="1" applyFont="1" applyFill="1" applyBorder="1" applyAlignment="1" applyProtection="1">
      <alignment horizontal="center" vertical="center" shrinkToFit="1"/>
    </xf>
    <xf numFmtId="0" fontId="30" fillId="0" borderId="45" xfId="1" applyNumberFormat="1" applyFont="1" applyFill="1" applyBorder="1" applyAlignment="1" applyProtection="1">
      <alignment horizontal="center" vertical="center" shrinkToFit="1"/>
    </xf>
    <xf numFmtId="0" fontId="30" fillId="0" borderId="47" xfId="1" applyNumberFormat="1" applyFont="1" applyFill="1" applyBorder="1" applyAlignment="1" applyProtection="1">
      <alignment horizontal="left" vertical="center" shrinkToFit="1"/>
    </xf>
    <xf numFmtId="0" fontId="30" fillId="0" borderId="45" xfId="1" applyNumberFormat="1" applyFont="1" applyFill="1" applyBorder="1" applyAlignment="1" applyProtection="1">
      <alignment horizontal="left" vertical="center" shrinkToFit="1"/>
    </xf>
    <xf numFmtId="0" fontId="30" fillId="0" borderId="46" xfId="1" applyNumberFormat="1" applyFont="1" applyFill="1" applyBorder="1" applyAlignment="1" applyProtection="1">
      <alignment horizontal="center" vertical="center" shrinkToFit="1"/>
    </xf>
    <xf numFmtId="0" fontId="30" fillId="0" borderId="46" xfId="1" applyNumberFormat="1" applyFont="1" applyFill="1" applyBorder="1" applyAlignment="1" applyProtection="1">
      <alignment horizontal="left" vertical="center" shrinkToFit="1"/>
    </xf>
    <xf numFmtId="0" fontId="30" fillId="0" borderId="1" xfId="1" applyNumberFormat="1" applyFont="1" applyFill="1" applyBorder="1" applyAlignment="1" applyProtection="1">
      <alignment horizontal="center" vertical="center" shrinkToFit="1"/>
    </xf>
    <xf numFmtId="0" fontId="30" fillId="0" borderId="52" xfId="1" applyNumberFormat="1" applyFont="1" applyFill="1" applyBorder="1" applyAlignment="1" applyProtection="1">
      <alignment horizontal="center" vertical="center" shrinkToFit="1"/>
    </xf>
    <xf numFmtId="0" fontId="30" fillId="0" borderId="1" xfId="1" applyNumberFormat="1" applyFont="1" applyFill="1" applyBorder="1" applyAlignment="1" applyProtection="1">
      <alignment horizontal="left" vertical="center" shrinkToFit="1"/>
    </xf>
    <xf numFmtId="0" fontId="30" fillId="0" borderId="52" xfId="1" applyNumberFormat="1" applyFont="1" applyFill="1" applyBorder="1" applyAlignment="1" applyProtection="1">
      <alignment horizontal="left" vertical="center" shrinkToFit="1"/>
    </xf>
    <xf numFmtId="181" fontId="30" fillId="0" borderId="0" xfId="0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10" fillId="0" borderId="31" xfId="0" applyFont="1" applyBorder="1" applyAlignment="1" applyProtection="1">
      <alignment horizontal="left" vertical="center" shrinkToFit="1"/>
    </xf>
    <xf numFmtId="0" fontId="10" fillId="0" borderId="31" xfId="0" applyFont="1" applyBorder="1" applyAlignment="1" applyProtection="1">
      <alignment vertical="center" shrinkToFit="1"/>
    </xf>
    <xf numFmtId="0" fontId="8" fillId="0" borderId="31" xfId="0" applyFont="1" applyBorder="1" applyAlignment="1" applyProtection="1">
      <alignment horizontal="left" vertical="center" shrinkToFit="1"/>
    </xf>
  </cellXfs>
  <cellStyles count="3">
    <cellStyle name="桁区切り" xfId="2" builtinId="6"/>
    <cellStyle name="標準" xfId="0" builtinId="0"/>
    <cellStyle name="標準_小高男ト" xfId="1"/>
  </cellStyles>
  <dxfs count="95"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5FA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5FA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AFA"/>
        </patternFill>
      </fill>
    </dxf>
    <dxf>
      <font>
        <color theme="0"/>
      </font>
    </dxf>
    <dxf>
      <font>
        <color theme="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AFA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AFA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5FA"/>
        </patternFill>
      </fill>
    </dxf>
    <dxf>
      <fill>
        <patternFill>
          <bgColor rgb="FFFFF5FA"/>
        </patternFill>
      </fill>
    </dxf>
    <dxf>
      <fill>
        <patternFill>
          <bgColor indexed="10"/>
        </patternFill>
      </fill>
    </dxf>
    <dxf>
      <fill>
        <patternFill>
          <bgColor rgb="FFFFF5FA"/>
        </patternFill>
      </fill>
    </dxf>
    <dxf>
      <fill>
        <patternFill patternType="solid">
          <fgColor indexed="9"/>
          <bgColor indexed="41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5FA"/>
        </patternFill>
      </fill>
    </dxf>
    <dxf>
      <fill>
        <patternFill>
          <bgColor rgb="FFFFF5FA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0000FF"/>
      <color rgb="FFFFF5FA"/>
      <color rgb="FFFFF5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>
    <pageSetUpPr fitToPage="1"/>
  </sheetPr>
  <dimension ref="A1:E69"/>
  <sheetViews>
    <sheetView tabSelected="1" view="pageBreakPreview" zoomScaleNormal="100" zoomScaleSheetLayoutView="85" workbookViewId="0">
      <selection sqref="A1:E1"/>
    </sheetView>
  </sheetViews>
  <sheetFormatPr defaultRowHeight="13.5"/>
  <cols>
    <col min="1" max="1" width="6.7109375" style="150" bestFit="1" customWidth="1"/>
    <col min="2" max="2" width="20.28515625" style="148" bestFit="1" customWidth="1"/>
    <col min="3" max="3" width="17.85546875" style="150" bestFit="1" customWidth="1"/>
    <col min="4" max="4" width="27.42578125" style="148" bestFit="1" customWidth="1"/>
    <col min="5" max="5" width="21.85546875" style="148" bestFit="1" customWidth="1"/>
    <col min="6" max="16384" width="9.140625" style="148"/>
  </cols>
  <sheetData>
    <row r="1" spans="1:5">
      <c r="A1" s="308" t="s">
        <v>78</v>
      </c>
      <c r="B1" s="308"/>
      <c r="C1" s="308"/>
      <c r="D1" s="308"/>
      <c r="E1" s="308"/>
    </row>
    <row r="2" spans="1:5">
      <c r="A2" s="308" t="s">
        <v>60</v>
      </c>
      <c r="B2" s="308"/>
      <c r="C2" s="308"/>
      <c r="D2" s="148" t="s">
        <v>2</v>
      </c>
      <c r="E2" s="149">
        <f>COUNTA(C5:C68)</f>
        <v>50</v>
      </c>
    </row>
    <row r="3" spans="1:5">
      <c r="A3" s="309" t="s">
        <v>4</v>
      </c>
      <c r="B3" s="309"/>
      <c r="D3" s="148" t="s">
        <v>12</v>
      </c>
      <c r="E3" s="267">
        <v>43184</v>
      </c>
    </row>
    <row r="4" spans="1:5">
      <c r="A4" s="151" t="s">
        <v>31</v>
      </c>
      <c r="B4" s="151" t="s">
        <v>11</v>
      </c>
      <c r="C4" s="151" t="s">
        <v>1</v>
      </c>
      <c r="D4" s="151" t="s">
        <v>30</v>
      </c>
      <c r="E4" s="152" t="s">
        <v>10</v>
      </c>
    </row>
    <row r="5" spans="1:5">
      <c r="A5" s="151">
        <f>IF(C5="","",ROW()-4)</f>
        <v>1</v>
      </c>
      <c r="B5" s="153" t="s">
        <v>79</v>
      </c>
      <c r="C5" s="153" t="s">
        <v>80</v>
      </c>
      <c r="D5" s="154" t="s">
        <v>145</v>
      </c>
      <c r="E5" s="155"/>
    </row>
    <row r="6" spans="1:5">
      <c r="A6" s="151">
        <f t="shared" ref="A6:A68" si="0">IF(C6="","",ROW()-4)</f>
        <v>2</v>
      </c>
      <c r="B6" s="153" t="s">
        <v>146</v>
      </c>
      <c r="C6" s="153" t="s">
        <v>81</v>
      </c>
      <c r="D6" s="266" t="s">
        <v>147</v>
      </c>
      <c r="E6" s="155"/>
    </row>
    <row r="7" spans="1:5">
      <c r="A7" s="151">
        <f t="shared" si="0"/>
        <v>3</v>
      </c>
      <c r="B7" s="153" t="s">
        <v>146</v>
      </c>
      <c r="C7" s="153" t="s">
        <v>82</v>
      </c>
      <c r="D7" s="154" t="s">
        <v>148</v>
      </c>
      <c r="E7" s="155"/>
    </row>
    <row r="8" spans="1:5">
      <c r="A8" s="151">
        <f t="shared" si="0"/>
        <v>4</v>
      </c>
      <c r="B8" s="153" t="s">
        <v>146</v>
      </c>
      <c r="C8" s="153" t="s">
        <v>83</v>
      </c>
      <c r="D8" s="154" t="s">
        <v>149</v>
      </c>
      <c r="E8" s="155"/>
    </row>
    <row r="9" spans="1:5">
      <c r="A9" s="151">
        <f t="shared" si="0"/>
        <v>5</v>
      </c>
      <c r="B9" s="153" t="s">
        <v>84</v>
      </c>
      <c r="C9" s="153" t="s">
        <v>85</v>
      </c>
      <c r="D9" s="154" t="s">
        <v>150</v>
      </c>
      <c r="E9" s="155"/>
    </row>
    <row r="10" spans="1:5">
      <c r="A10" s="151">
        <f t="shared" si="0"/>
        <v>6</v>
      </c>
      <c r="B10" s="153" t="s">
        <v>79</v>
      </c>
      <c r="C10" s="153" t="s">
        <v>86</v>
      </c>
      <c r="D10" s="154" t="s">
        <v>151</v>
      </c>
      <c r="E10" s="155"/>
    </row>
    <row r="11" spans="1:5">
      <c r="A11" s="151">
        <f t="shared" si="0"/>
        <v>7</v>
      </c>
      <c r="B11" s="153" t="s">
        <v>87</v>
      </c>
      <c r="C11" s="153" t="s">
        <v>88</v>
      </c>
      <c r="D11" s="154" t="s">
        <v>152</v>
      </c>
      <c r="E11" s="155"/>
    </row>
    <row r="12" spans="1:5">
      <c r="A12" s="151">
        <f t="shared" si="0"/>
        <v>8</v>
      </c>
      <c r="B12" s="153" t="s">
        <v>153</v>
      </c>
      <c r="C12" s="153" t="s">
        <v>89</v>
      </c>
      <c r="D12" s="154" t="s">
        <v>154</v>
      </c>
      <c r="E12" s="155"/>
    </row>
    <row r="13" spans="1:5">
      <c r="A13" s="151">
        <f t="shared" si="0"/>
        <v>9</v>
      </c>
      <c r="B13" s="153" t="s">
        <v>90</v>
      </c>
      <c r="C13" s="153" t="s">
        <v>91</v>
      </c>
      <c r="D13" s="156" t="s">
        <v>155</v>
      </c>
      <c r="E13" s="155"/>
    </row>
    <row r="14" spans="1:5">
      <c r="A14" s="151">
        <f t="shared" si="0"/>
        <v>10</v>
      </c>
      <c r="B14" s="153" t="s">
        <v>146</v>
      </c>
      <c r="C14" s="153" t="s">
        <v>92</v>
      </c>
      <c r="D14" s="154" t="s">
        <v>156</v>
      </c>
      <c r="E14" s="155"/>
    </row>
    <row r="15" spans="1:5">
      <c r="A15" s="151">
        <f t="shared" si="0"/>
        <v>11</v>
      </c>
      <c r="B15" s="153" t="s">
        <v>93</v>
      </c>
      <c r="C15" s="153" t="s">
        <v>94</v>
      </c>
      <c r="D15" s="154" t="s">
        <v>157</v>
      </c>
      <c r="E15" s="155"/>
    </row>
    <row r="16" spans="1:5">
      <c r="A16" s="151">
        <f t="shared" si="0"/>
        <v>12</v>
      </c>
      <c r="B16" s="153" t="s">
        <v>93</v>
      </c>
      <c r="C16" s="153" t="s">
        <v>95</v>
      </c>
      <c r="D16" s="154" t="s">
        <v>158</v>
      </c>
      <c r="E16" s="155"/>
    </row>
    <row r="17" spans="1:5">
      <c r="A17" s="151">
        <f t="shared" si="0"/>
        <v>13</v>
      </c>
      <c r="B17" s="306" t="s">
        <v>93</v>
      </c>
      <c r="C17" s="306" t="s">
        <v>96</v>
      </c>
      <c r="D17" s="307" t="s">
        <v>159</v>
      </c>
      <c r="E17" s="155"/>
    </row>
    <row r="18" spans="1:5">
      <c r="A18" s="151">
        <f t="shared" si="0"/>
        <v>14</v>
      </c>
      <c r="B18" s="153" t="s">
        <v>97</v>
      </c>
      <c r="C18" s="153" t="s">
        <v>98</v>
      </c>
      <c r="D18" s="154" t="s">
        <v>160</v>
      </c>
      <c r="E18" s="155"/>
    </row>
    <row r="19" spans="1:5">
      <c r="A19" s="151">
        <f t="shared" si="0"/>
        <v>15</v>
      </c>
      <c r="B19" s="153" t="s">
        <v>97</v>
      </c>
      <c r="C19" s="153" t="s">
        <v>99</v>
      </c>
      <c r="D19" s="154" t="s">
        <v>161</v>
      </c>
      <c r="E19" s="155"/>
    </row>
    <row r="20" spans="1:5">
      <c r="A20" s="151">
        <f t="shared" si="0"/>
        <v>16</v>
      </c>
      <c r="B20" s="153" t="s">
        <v>97</v>
      </c>
      <c r="C20" s="153" t="s">
        <v>100</v>
      </c>
      <c r="D20" s="154" t="s">
        <v>162</v>
      </c>
      <c r="E20" s="155"/>
    </row>
    <row r="21" spans="1:5">
      <c r="A21" s="151">
        <f t="shared" si="0"/>
        <v>17</v>
      </c>
      <c r="B21" s="153" t="s">
        <v>97</v>
      </c>
      <c r="C21" s="153" t="s">
        <v>101</v>
      </c>
      <c r="D21" s="154" t="s">
        <v>163</v>
      </c>
      <c r="E21" s="155"/>
    </row>
    <row r="22" spans="1:5">
      <c r="A22" s="151">
        <f t="shared" si="0"/>
        <v>18</v>
      </c>
      <c r="B22" s="153" t="s">
        <v>97</v>
      </c>
      <c r="C22" s="153" t="s">
        <v>102</v>
      </c>
      <c r="D22" s="154" t="s">
        <v>164</v>
      </c>
      <c r="E22" s="155"/>
    </row>
    <row r="23" spans="1:5">
      <c r="A23" s="151">
        <f t="shared" si="0"/>
        <v>19</v>
      </c>
      <c r="B23" s="153" t="s">
        <v>97</v>
      </c>
      <c r="C23" s="153" t="s">
        <v>103</v>
      </c>
      <c r="D23" s="154" t="s">
        <v>165</v>
      </c>
      <c r="E23" s="155"/>
    </row>
    <row r="24" spans="1:5">
      <c r="A24" s="151">
        <f t="shared" si="0"/>
        <v>20</v>
      </c>
      <c r="B24" s="153" t="s">
        <v>97</v>
      </c>
      <c r="C24" s="153" t="s">
        <v>104</v>
      </c>
      <c r="D24" s="154" t="s">
        <v>166</v>
      </c>
      <c r="E24" s="155"/>
    </row>
    <row r="25" spans="1:5">
      <c r="A25" s="151">
        <f t="shared" si="0"/>
        <v>21</v>
      </c>
      <c r="B25" s="153" t="s">
        <v>97</v>
      </c>
      <c r="C25" s="153" t="s">
        <v>105</v>
      </c>
      <c r="D25" s="154" t="s">
        <v>167</v>
      </c>
      <c r="E25" s="155"/>
    </row>
    <row r="26" spans="1:5">
      <c r="A26" s="151">
        <f t="shared" si="0"/>
        <v>22</v>
      </c>
      <c r="B26" s="153" t="s">
        <v>97</v>
      </c>
      <c r="C26" s="153" t="s">
        <v>106</v>
      </c>
      <c r="D26" s="154" t="s">
        <v>168</v>
      </c>
      <c r="E26" s="155"/>
    </row>
    <row r="27" spans="1:5">
      <c r="A27" s="151">
        <f t="shared" si="0"/>
        <v>23</v>
      </c>
      <c r="B27" s="153" t="s">
        <v>169</v>
      </c>
      <c r="C27" s="153" t="s">
        <v>107</v>
      </c>
      <c r="D27" s="154" t="s">
        <v>170</v>
      </c>
      <c r="E27" s="155"/>
    </row>
    <row r="28" spans="1:5">
      <c r="A28" s="151">
        <f t="shared" si="0"/>
        <v>24</v>
      </c>
      <c r="B28" s="153" t="s">
        <v>108</v>
      </c>
      <c r="C28" s="153" t="s">
        <v>109</v>
      </c>
      <c r="D28" s="154" t="s">
        <v>171</v>
      </c>
      <c r="E28" s="155"/>
    </row>
    <row r="29" spans="1:5">
      <c r="A29" s="151">
        <f t="shared" si="0"/>
        <v>25</v>
      </c>
      <c r="B29" s="153" t="s">
        <v>108</v>
      </c>
      <c r="C29" s="153" t="s">
        <v>110</v>
      </c>
      <c r="D29" s="154" t="s">
        <v>172</v>
      </c>
      <c r="E29" s="155"/>
    </row>
    <row r="30" spans="1:5">
      <c r="A30" s="151">
        <f t="shared" si="0"/>
        <v>26</v>
      </c>
      <c r="B30" s="153" t="s">
        <v>173</v>
      </c>
      <c r="C30" s="153" t="s">
        <v>111</v>
      </c>
      <c r="D30" s="154" t="s">
        <v>174</v>
      </c>
      <c r="E30" s="155"/>
    </row>
    <row r="31" spans="1:5">
      <c r="A31" s="151">
        <f t="shared" si="0"/>
        <v>27</v>
      </c>
      <c r="B31" s="153" t="s">
        <v>112</v>
      </c>
      <c r="C31" s="153" t="s">
        <v>113</v>
      </c>
      <c r="D31" s="154" t="s">
        <v>175</v>
      </c>
      <c r="E31" s="155"/>
    </row>
    <row r="32" spans="1:5">
      <c r="A32" s="151">
        <f t="shared" si="0"/>
        <v>28</v>
      </c>
      <c r="B32" s="153" t="s">
        <v>112</v>
      </c>
      <c r="C32" s="153" t="s">
        <v>114</v>
      </c>
      <c r="D32" s="154" t="s">
        <v>176</v>
      </c>
      <c r="E32" s="155"/>
    </row>
    <row r="33" spans="1:5">
      <c r="A33" s="151">
        <f t="shared" si="0"/>
        <v>29</v>
      </c>
      <c r="B33" s="153" t="s">
        <v>84</v>
      </c>
      <c r="C33" s="153" t="s">
        <v>115</v>
      </c>
      <c r="D33" s="154" t="s">
        <v>177</v>
      </c>
      <c r="E33" s="155"/>
    </row>
    <row r="34" spans="1:5">
      <c r="A34" s="151">
        <f t="shared" si="0"/>
        <v>30</v>
      </c>
      <c r="B34" s="153" t="s">
        <v>79</v>
      </c>
      <c r="C34" s="153" t="s">
        <v>116</v>
      </c>
      <c r="D34" s="154" t="s">
        <v>178</v>
      </c>
      <c r="E34" s="155"/>
    </row>
    <row r="35" spans="1:5">
      <c r="A35" s="151">
        <f t="shared" si="0"/>
        <v>31</v>
      </c>
      <c r="B35" s="153" t="s">
        <v>79</v>
      </c>
      <c r="C35" s="153" t="s">
        <v>117</v>
      </c>
      <c r="D35" s="154" t="s">
        <v>179</v>
      </c>
      <c r="E35" s="155"/>
    </row>
    <row r="36" spans="1:5">
      <c r="A36" s="151">
        <f t="shared" si="0"/>
        <v>32</v>
      </c>
      <c r="B36" s="153" t="s">
        <v>79</v>
      </c>
      <c r="C36" s="153" t="s">
        <v>118</v>
      </c>
      <c r="D36" s="154" t="s">
        <v>180</v>
      </c>
      <c r="E36" s="155"/>
    </row>
    <row r="37" spans="1:5">
      <c r="A37" s="151">
        <f t="shared" si="0"/>
        <v>33</v>
      </c>
      <c r="B37" s="153" t="s">
        <v>79</v>
      </c>
      <c r="C37" s="153" t="s">
        <v>119</v>
      </c>
      <c r="D37" s="154" t="s">
        <v>181</v>
      </c>
      <c r="E37" s="155"/>
    </row>
    <row r="38" spans="1:5">
      <c r="A38" s="151">
        <f t="shared" si="0"/>
        <v>34</v>
      </c>
      <c r="B38" s="153" t="s">
        <v>120</v>
      </c>
      <c r="C38" s="153" t="s">
        <v>121</v>
      </c>
      <c r="D38" s="154" t="s">
        <v>182</v>
      </c>
      <c r="E38" s="155"/>
    </row>
    <row r="39" spans="1:5">
      <c r="A39" s="151">
        <f t="shared" si="0"/>
        <v>35</v>
      </c>
      <c r="B39" s="153" t="s">
        <v>122</v>
      </c>
      <c r="C39" s="153" t="s">
        <v>123</v>
      </c>
      <c r="D39" s="154" t="s">
        <v>183</v>
      </c>
      <c r="E39" s="155"/>
    </row>
    <row r="40" spans="1:5">
      <c r="A40" s="151">
        <f t="shared" si="0"/>
        <v>36</v>
      </c>
      <c r="B40" s="153" t="s">
        <v>153</v>
      </c>
      <c r="C40" s="153" t="s">
        <v>124</v>
      </c>
      <c r="D40" s="154" t="s">
        <v>184</v>
      </c>
      <c r="E40" s="155"/>
    </row>
    <row r="41" spans="1:5">
      <c r="A41" s="151">
        <f t="shared" si="0"/>
        <v>37</v>
      </c>
      <c r="B41" s="153" t="s">
        <v>125</v>
      </c>
      <c r="C41" s="153" t="s">
        <v>126</v>
      </c>
      <c r="D41" s="154" t="s">
        <v>185</v>
      </c>
      <c r="E41" s="155"/>
    </row>
    <row r="42" spans="1:5">
      <c r="A42" s="151">
        <f t="shared" si="0"/>
        <v>38</v>
      </c>
      <c r="B42" s="153" t="s">
        <v>127</v>
      </c>
      <c r="C42" s="153" t="s">
        <v>128</v>
      </c>
      <c r="D42" s="154" t="s">
        <v>186</v>
      </c>
      <c r="E42" s="155"/>
    </row>
    <row r="43" spans="1:5">
      <c r="A43" s="151">
        <f t="shared" si="0"/>
        <v>39</v>
      </c>
      <c r="B43" s="153" t="s">
        <v>127</v>
      </c>
      <c r="C43" s="153" t="s">
        <v>129</v>
      </c>
      <c r="D43" s="154" t="s">
        <v>187</v>
      </c>
      <c r="E43" s="155"/>
    </row>
    <row r="44" spans="1:5">
      <c r="A44" s="151">
        <f t="shared" si="0"/>
        <v>40</v>
      </c>
      <c r="B44" s="153" t="s">
        <v>127</v>
      </c>
      <c r="C44" s="153" t="s">
        <v>130</v>
      </c>
      <c r="D44" s="154" t="s">
        <v>188</v>
      </c>
      <c r="E44" s="155"/>
    </row>
    <row r="45" spans="1:5">
      <c r="A45" s="151">
        <f t="shared" si="0"/>
        <v>41</v>
      </c>
      <c r="B45" s="153" t="s">
        <v>127</v>
      </c>
      <c r="C45" s="153" t="s">
        <v>131</v>
      </c>
      <c r="D45" s="154" t="s">
        <v>189</v>
      </c>
      <c r="E45" s="155"/>
    </row>
    <row r="46" spans="1:5">
      <c r="A46" s="151">
        <f t="shared" si="0"/>
        <v>42</v>
      </c>
      <c r="B46" s="153" t="s">
        <v>132</v>
      </c>
      <c r="C46" s="153" t="s">
        <v>133</v>
      </c>
      <c r="D46" s="154" t="s">
        <v>190</v>
      </c>
      <c r="E46" s="155"/>
    </row>
    <row r="47" spans="1:5">
      <c r="A47" s="151">
        <f t="shared" si="0"/>
        <v>43</v>
      </c>
      <c r="B47" s="153" t="s">
        <v>134</v>
      </c>
      <c r="C47" s="153" t="s">
        <v>135</v>
      </c>
      <c r="D47" s="154" t="s">
        <v>191</v>
      </c>
      <c r="E47" s="155"/>
    </row>
    <row r="48" spans="1:5">
      <c r="A48" s="151">
        <f t="shared" si="0"/>
        <v>44</v>
      </c>
      <c r="B48" s="153" t="s">
        <v>136</v>
      </c>
      <c r="C48" s="153" t="s">
        <v>137</v>
      </c>
      <c r="D48" s="154" t="s">
        <v>192</v>
      </c>
      <c r="E48" s="155"/>
    </row>
    <row r="49" spans="1:5">
      <c r="A49" s="151">
        <f t="shared" si="0"/>
        <v>45</v>
      </c>
      <c r="B49" s="153" t="s">
        <v>138</v>
      </c>
      <c r="C49" s="153" t="s">
        <v>139</v>
      </c>
      <c r="D49" s="154" t="s">
        <v>193</v>
      </c>
      <c r="E49" s="155"/>
    </row>
    <row r="50" spans="1:5">
      <c r="A50" s="151">
        <f t="shared" si="0"/>
        <v>46</v>
      </c>
      <c r="B50" s="153" t="s">
        <v>146</v>
      </c>
      <c r="C50" s="153" t="s">
        <v>140</v>
      </c>
      <c r="D50" s="154" t="s">
        <v>194</v>
      </c>
      <c r="E50" s="155"/>
    </row>
    <row r="51" spans="1:5">
      <c r="A51" s="151">
        <f t="shared" si="0"/>
        <v>47</v>
      </c>
      <c r="B51" s="153" t="s">
        <v>146</v>
      </c>
      <c r="C51" s="153" t="s">
        <v>141</v>
      </c>
      <c r="D51" s="154" t="s">
        <v>195</v>
      </c>
      <c r="E51" s="155"/>
    </row>
    <row r="52" spans="1:5">
      <c r="A52" s="151">
        <f t="shared" si="0"/>
        <v>48</v>
      </c>
      <c r="B52" s="153" t="s">
        <v>146</v>
      </c>
      <c r="C52" s="153" t="s">
        <v>142</v>
      </c>
      <c r="D52" s="154" t="s">
        <v>196</v>
      </c>
      <c r="E52" s="155"/>
    </row>
    <row r="53" spans="1:5">
      <c r="A53" s="151">
        <f t="shared" si="0"/>
        <v>49</v>
      </c>
      <c r="B53" s="153" t="s">
        <v>146</v>
      </c>
      <c r="C53" s="153" t="s">
        <v>143</v>
      </c>
      <c r="D53" s="154" t="s">
        <v>197</v>
      </c>
      <c r="E53" s="155"/>
    </row>
    <row r="54" spans="1:5">
      <c r="A54" s="151">
        <f t="shared" si="0"/>
        <v>50</v>
      </c>
      <c r="B54" s="153" t="s">
        <v>146</v>
      </c>
      <c r="C54" s="153" t="s">
        <v>144</v>
      </c>
      <c r="D54" s="154" t="s">
        <v>198</v>
      </c>
      <c r="E54" s="155"/>
    </row>
    <row r="55" spans="1:5">
      <c r="A55" s="151" t="str">
        <f t="shared" si="0"/>
        <v/>
      </c>
      <c r="B55" s="153"/>
      <c r="C55" s="153"/>
      <c r="D55" s="154"/>
      <c r="E55" s="155"/>
    </row>
    <row r="56" spans="1:5">
      <c r="A56" s="151" t="str">
        <f t="shared" si="0"/>
        <v/>
      </c>
      <c r="B56" s="153"/>
      <c r="C56" s="153"/>
      <c r="D56" s="154"/>
      <c r="E56" s="155"/>
    </row>
    <row r="57" spans="1:5">
      <c r="A57" s="151" t="str">
        <f t="shared" si="0"/>
        <v/>
      </c>
      <c r="B57" s="153"/>
      <c r="C57" s="153"/>
      <c r="D57" s="154"/>
      <c r="E57" s="155"/>
    </row>
    <row r="58" spans="1:5">
      <c r="A58" s="151" t="str">
        <f t="shared" si="0"/>
        <v/>
      </c>
      <c r="B58" s="153"/>
      <c r="C58" s="153"/>
      <c r="D58" s="154"/>
      <c r="E58" s="155"/>
    </row>
    <row r="59" spans="1:5">
      <c r="A59" s="151" t="str">
        <f t="shared" si="0"/>
        <v/>
      </c>
      <c r="B59" s="155"/>
      <c r="C59" s="154"/>
      <c r="D59" s="154"/>
      <c r="E59" s="155"/>
    </row>
    <row r="60" spans="1:5">
      <c r="A60" s="151" t="str">
        <f t="shared" si="0"/>
        <v/>
      </c>
      <c r="B60" s="155"/>
      <c r="C60" s="154"/>
      <c r="D60" s="154"/>
      <c r="E60" s="155"/>
    </row>
    <row r="61" spans="1:5">
      <c r="A61" s="151" t="str">
        <f t="shared" si="0"/>
        <v/>
      </c>
      <c r="B61" s="155"/>
      <c r="C61" s="154"/>
      <c r="D61" s="154"/>
      <c r="E61" s="155"/>
    </row>
    <row r="62" spans="1:5">
      <c r="A62" s="151" t="str">
        <f t="shared" si="0"/>
        <v/>
      </c>
      <c r="B62" s="155"/>
      <c r="C62" s="154"/>
      <c r="D62" s="154"/>
      <c r="E62" s="155"/>
    </row>
    <row r="63" spans="1:5">
      <c r="A63" s="151" t="str">
        <f t="shared" si="0"/>
        <v/>
      </c>
      <c r="B63" s="155"/>
      <c r="C63" s="154"/>
      <c r="D63" s="154"/>
      <c r="E63" s="155"/>
    </row>
    <row r="64" spans="1:5">
      <c r="A64" s="151" t="str">
        <f t="shared" si="0"/>
        <v/>
      </c>
      <c r="B64" s="155"/>
      <c r="C64" s="154"/>
      <c r="D64" s="154"/>
      <c r="E64" s="155"/>
    </row>
    <row r="65" spans="1:5">
      <c r="A65" s="151" t="str">
        <f t="shared" si="0"/>
        <v/>
      </c>
      <c r="B65" s="155"/>
      <c r="C65" s="154"/>
      <c r="D65" s="154"/>
      <c r="E65" s="155"/>
    </row>
    <row r="66" spans="1:5">
      <c r="A66" s="151" t="str">
        <f t="shared" si="0"/>
        <v/>
      </c>
      <c r="B66" s="155"/>
      <c r="C66" s="154"/>
      <c r="D66" s="154"/>
      <c r="E66" s="155"/>
    </row>
    <row r="67" spans="1:5">
      <c r="A67" s="151" t="str">
        <f t="shared" si="0"/>
        <v/>
      </c>
      <c r="B67" s="155"/>
      <c r="C67" s="154"/>
      <c r="D67" s="154"/>
      <c r="E67" s="155"/>
    </row>
    <row r="68" spans="1:5">
      <c r="A68" s="151" t="str">
        <f t="shared" si="0"/>
        <v/>
      </c>
      <c r="B68" s="155"/>
      <c r="C68" s="154"/>
      <c r="D68" s="154"/>
      <c r="E68" s="155"/>
    </row>
    <row r="69" spans="1:5" s="159" customFormat="1">
      <c r="A69" s="157">
        <v>100</v>
      </c>
      <c r="B69" s="158" t="s">
        <v>54</v>
      </c>
      <c r="C69" s="157" t="s">
        <v>55</v>
      </c>
      <c r="D69" s="157" t="s">
        <v>56</v>
      </c>
    </row>
  </sheetData>
  <sheetProtection sheet="1" objects="1" scenarios="1" formatCells="0" selectLockedCells="1"/>
  <mergeCells count="3">
    <mergeCell ref="A1:E1"/>
    <mergeCell ref="A3:B3"/>
    <mergeCell ref="A2:C2"/>
  </mergeCells>
  <phoneticPr fontId="1"/>
  <conditionalFormatting sqref="B5:E68">
    <cfRule type="cellIs" dxfId="94" priority="3" operator="equal">
      <formula>""</formula>
    </cfRule>
  </conditionalFormatting>
  <conditionalFormatting sqref="B69">
    <cfRule type="cellIs" dxfId="93" priority="1" stopIfTrue="1" operator="equal">
      <formula>""</formula>
    </cfRule>
    <cfRule type="cellIs" dxfId="92" priority="2" stopIfTrue="1" operator="notEqual">
      <formula>""</formula>
    </cfRule>
  </conditionalFormatting>
  <printOptions horizontalCentered="1"/>
  <pageMargins left="0.59055118110236227" right="0.59055118110236227" top="0.59055118110236227" bottom="0.59055118110236227" header="0.39370078740157483" footer="0.39370078740157483"/>
  <pageSetup paperSize="9" fitToHeight="0" orientation="portrait" horizontalDpi="4294967292" verticalDpi="300" r:id="rId1"/>
  <headerFooter alignWithMargins="0">
    <oddHeader>&amp;L&amp;"ＭＳ ゴシック,標準"&amp;11&amp;D  &amp;T&amp;R&amp;"ＭＳ ゴシック,標準"&amp;11&amp;P / &amp;Nページ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zoomScale="85" workbookViewId="0">
      <selection activeCell="D2" sqref="D2:W4"/>
    </sheetView>
  </sheetViews>
  <sheetFormatPr defaultColWidth="4" defaultRowHeight="22.5" customHeight="1" outlineLevelCol="1"/>
  <cols>
    <col min="1" max="1" width="4.5703125" style="16" customWidth="1"/>
    <col min="2" max="2" width="15.85546875" style="16" customWidth="1"/>
    <col min="3" max="3" width="16.42578125" style="16" bestFit="1" customWidth="1"/>
    <col min="4" max="16" width="4" style="24" customWidth="1"/>
    <col min="17" max="22" width="4" style="24" hidden="1" customWidth="1" outlineLevel="1"/>
    <col min="23" max="23" width="4" style="24" customWidth="1" collapsed="1"/>
    <col min="24" max="25" width="4" style="24" customWidth="1"/>
    <col min="26" max="26" width="4" style="24" hidden="1" customWidth="1" outlineLevel="1"/>
    <col min="27" max="27" width="15.7109375" style="24" hidden="1" customWidth="1" outlineLevel="1"/>
    <col min="28" max="28" width="4" style="24" customWidth="1" collapsed="1"/>
    <col min="29" max="16384" width="4" style="24"/>
  </cols>
  <sheetData>
    <row r="1" spans="1:27" ht="22.5" customHeight="1">
      <c r="A1" s="367" t="str">
        <f>"　"&amp;名簿!$A$2</f>
        <v>　中学男子</v>
      </c>
      <c r="B1" s="367"/>
      <c r="C1" s="367"/>
      <c r="D1" s="366" t="str">
        <f>'T1'!D1</f>
        <v>　　トーナメント対戦表</v>
      </c>
      <c r="E1" s="366"/>
      <c r="F1" s="366"/>
      <c r="G1" s="366"/>
      <c r="H1" s="366"/>
      <c r="I1" s="366"/>
      <c r="J1" s="366"/>
      <c r="K1" s="366"/>
      <c r="L1" s="366" t="s">
        <v>47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</row>
    <row r="2" spans="1:27" s="16" customFormat="1" ht="22.5" customHeight="1">
      <c r="A2" s="14" t="s">
        <v>43</v>
      </c>
      <c r="B2" s="14" t="s">
        <v>39</v>
      </c>
      <c r="C2" s="14" t="s">
        <v>38</v>
      </c>
      <c r="D2" s="17">
        <v>1</v>
      </c>
      <c r="E2" s="18">
        <v>2</v>
      </c>
      <c r="F2" s="18">
        <v>3</v>
      </c>
      <c r="G2" s="18">
        <v>4</v>
      </c>
      <c r="H2" s="18">
        <v>5</v>
      </c>
      <c r="I2" s="18">
        <v>6</v>
      </c>
      <c r="J2" s="18">
        <v>7</v>
      </c>
      <c r="K2" s="18">
        <v>8</v>
      </c>
      <c r="L2" s="18">
        <v>9</v>
      </c>
      <c r="M2" s="18">
        <v>10</v>
      </c>
      <c r="N2" s="18">
        <v>11</v>
      </c>
      <c r="O2" s="18">
        <v>12</v>
      </c>
      <c r="P2" s="18">
        <v>13</v>
      </c>
      <c r="Q2" s="18">
        <v>14</v>
      </c>
      <c r="R2" s="18">
        <v>15</v>
      </c>
      <c r="S2" s="18">
        <v>16</v>
      </c>
      <c r="T2" s="18">
        <v>17</v>
      </c>
      <c r="U2" s="18">
        <v>18</v>
      </c>
      <c r="V2" s="19">
        <v>19</v>
      </c>
      <c r="W2" s="14" t="s">
        <v>41</v>
      </c>
    </row>
    <row r="3" spans="1:27" ht="22.5" customHeight="1">
      <c r="A3" s="14">
        <f>IF(ISERROR(Z3),"",Z3)</f>
        <v>1</v>
      </c>
      <c r="B3" s="14" t="str">
        <f>IF(ISERROR(AA3),"",AA3)</f>
        <v>はしまモア</v>
      </c>
      <c r="C3" s="14" t="str">
        <f>ﾄｰﾅﾒﾝﾄ!H14</f>
        <v>福田　亮介</v>
      </c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3"/>
      <c r="Z3" s="33">
        <f>VLOOKUP(C3,ｼｰﾄﾞ!$K$6:$M$69,2,0)</f>
        <v>1</v>
      </c>
      <c r="AA3" s="33" t="str">
        <f>VLOOKUP(C3,ｼｰﾄﾞ!$K$6:$M$69,3,0)</f>
        <v>はしまモア</v>
      </c>
    </row>
    <row r="4" spans="1:27" ht="22.5" customHeight="1">
      <c r="A4" s="14">
        <f>IF(ISERROR(Z4),"",Z4)</f>
        <v>25</v>
      </c>
      <c r="B4" s="14" t="str">
        <f>IF(ISERROR(AA4),"",AA4)</f>
        <v>愛工大付属</v>
      </c>
      <c r="C4" s="14" t="str">
        <f>ﾄｰﾅﾒﾝﾄ!H38</f>
        <v>弓長　昇主</v>
      </c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  <c r="W4" s="23"/>
      <c r="Z4" s="33">
        <f>VLOOKUP(C4,ｼｰﾄﾞ!$K$6:$M$69,2,0)</f>
        <v>25</v>
      </c>
      <c r="AA4" s="33" t="str">
        <f>VLOOKUP(C4,ｼｰﾄﾞ!$K$6:$M$69,3,0)</f>
        <v>愛工大付属</v>
      </c>
    </row>
    <row r="6" spans="1:27" ht="22.5" customHeight="1">
      <c r="A6" s="367" t="str">
        <f>"　"&amp;名簿!$A$2</f>
        <v>　中学男子</v>
      </c>
      <c r="B6" s="367"/>
      <c r="C6" s="367"/>
      <c r="D6" s="366" t="str">
        <f>$D$1</f>
        <v>　　トーナメント対戦表</v>
      </c>
      <c r="E6" s="366"/>
      <c r="F6" s="366"/>
      <c r="G6" s="366"/>
      <c r="H6" s="366"/>
      <c r="I6" s="366"/>
      <c r="J6" s="366"/>
      <c r="K6" s="366"/>
      <c r="L6" s="366" t="str">
        <f>$L$1</f>
        <v>準々決勝（４回戦）</v>
      </c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</row>
    <row r="7" spans="1:27" s="16" customFormat="1" ht="22.5" customHeight="1">
      <c r="A7" s="14" t="s">
        <v>43</v>
      </c>
      <c r="B7" s="14" t="s">
        <v>39</v>
      </c>
      <c r="C7" s="14" t="s">
        <v>38</v>
      </c>
      <c r="D7" s="17">
        <v>1</v>
      </c>
      <c r="E7" s="18">
        <v>2</v>
      </c>
      <c r="F7" s="18">
        <v>3</v>
      </c>
      <c r="G7" s="18">
        <v>4</v>
      </c>
      <c r="H7" s="18">
        <v>5</v>
      </c>
      <c r="I7" s="18">
        <v>6</v>
      </c>
      <c r="J7" s="18">
        <v>7</v>
      </c>
      <c r="K7" s="18">
        <v>8</v>
      </c>
      <c r="L7" s="18">
        <v>9</v>
      </c>
      <c r="M7" s="18">
        <v>10</v>
      </c>
      <c r="N7" s="18">
        <v>11</v>
      </c>
      <c r="O7" s="18">
        <v>12</v>
      </c>
      <c r="P7" s="18">
        <v>13</v>
      </c>
      <c r="Q7" s="18">
        <v>14</v>
      </c>
      <c r="R7" s="18">
        <v>15</v>
      </c>
      <c r="S7" s="18">
        <v>16</v>
      </c>
      <c r="T7" s="18">
        <v>17</v>
      </c>
      <c r="U7" s="18">
        <v>18</v>
      </c>
      <c r="V7" s="19">
        <v>19</v>
      </c>
      <c r="W7" s="14" t="s">
        <v>41</v>
      </c>
    </row>
    <row r="8" spans="1:27" ht="22.5" customHeight="1">
      <c r="A8" s="14">
        <f>IF(ISERROR(Z8),"",Z8)</f>
        <v>28</v>
      </c>
      <c r="B8" s="14" t="str">
        <f>IF(ISERROR(AA8),"",AA8)</f>
        <v>富山パレス</v>
      </c>
      <c r="C8" s="14" t="str">
        <f>ﾄｰﾅﾒﾝﾄ!H62</f>
        <v>藤野　正真</v>
      </c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3"/>
      <c r="Z8" s="33">
        <f>VLOOKUP(C8,ｼｰﾄﾞ!$K$6:$M$69,2,0)</f>
        <v>28</v>
      </c>
      <c r="AA8" s="33" t="str">
        <f>VLOOKUP(C8,ｼｰﾄﾞ!$K$6:$M$69,3,0)</f>
        <v>富山パレス</v>
      </c>
    </row>
    <row r="9" spans="1:27" ht="22.5" customHeight="1">
      <c r="A9" s="14">
        <f>IF(ISERROR(Z9),"",Z9)</f>
        <v>4</v>
      </c>
      <c r="B9" s="14" t="str">
        <f>IF(ISERROR(AA9),"",AA9)</f>
        <v>ワセダクラブ</v>
      </c>
      <c r="C9" s="14" t="str">
        <f>ﾄｰﾅﾒﾝﾄ!H86</f>
        <v>鈴木　統吾</v>
      </c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3"/>
      <c r="Z9" s="33">
        <f>VLOOKUP(C9,ｼｰﾄﾞ!$K$6:$M$69,2,0)</f>
        <v>4</v>
      </c>
      <c r="AA9" s="33" t="str">
        <f>VLOOKUP(C9,ｼｰﾄﾞ!$K$6:$M$69,3,0)</f>
        <v>ワセダクラブ</v>
      </c>
    </row>
    <row r="11" spans="1:27" ht="22.5" customHeight="1">
      <c r="A11" s="367" t="str">
        <f>"　"&amp;名簿!$A$2</f>
        <v>　中学男子</v>
      </c>
      <c r="B11" s="367"/>
      <c r="C11" s="367"/>
      <c r="D11" s="366" t="str">
        <f>$D$1</f>
        <v>　　トーナメント対戦表</v>
      </c>
      <c r="E11" s="366"/>
      <c r="F11" s="366"/>
      <c r="G11" s="366"/>
      <c r="H11" s="366"/>
      <c r="I11" s="366"/>
      <c r="J11" s="366"/>
      <c r="K11" s="366"/>
      <c r="L11" s="366" t="str">
        <f>$L$1</f>
        <v>準々決勝（４回戦）</v>
      </c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</row>
    <row r="12" spans="1:27" s="16" customFormat="1" ht="22.5" customHeight="1">
      <c r="A12" s="14" t="s">
        <v>43</v>
      </c>
      <c r="B12" s="14" t="s">
        <v>39</v>
      </c>
      <c r="C12" s="14" t="s">
        <v>38</v>
      </c>
      <c r="D12" s="17">
        <v>1</v>
      </c>
      <c r="E12" s="18">
        <v>2</v>
      </c>
      <c r="F12" s="18">
        <v>3</v>
      </c>
      <c r="G12" s="18">
        <v>4</v>
      </c>
      <c r="H12" s="18">
        <v>5</v>
      </c>
      <c r="I12" s="18">
        <v>6</v>
      </c>
      <c r="J12" s="18">
        <v>7</v>
      </c>
      <c r="K12" s="18">
        <v>8</v>
      </c>
      <c r="L12" s="18">
        <v>9</v>
      </c>
      <c r="M12" s="18">
        <v>10</v>
      </c>
      <c r="N12" s="18">
        <v>11</v>
      </c>
      <c r="O12" s="18">
        <v>12</v>
      </c>
      <c r="P12" s="18">
        <v>13</v>
      </c>
      <c r="Q12" s="18">
        <v>14</v>
      </c>
      <c r="R12" s="18">
        <v>15</v>
      </c>
      <c r="S12" s="18">
        <v>16</v>
      </c>
      <c r="T12" s="18">
        <v>17</v>
      </c>
      <c r="U12" s="18">
        <v>18</v>
      </c>
      <c r="V12" s="19">
        <v>19</v>
      </c>
      <c r="W12" s="14" t="s">
        <v>41</v>
      </c>
    </row>
    <row r="13" spans="1:27" ht="22.5" customHeight="1">
      <c r="A13" s="14">
        <f>IF(ISERROR(Z13),"",Z13)</f>
        <v>14</v>
      </c>
      <c r="B13" s="14" t="str">
        <f>IF(ISERROR(AA13),"",AA13)</f>
        <v>長野ジュニア</v>
      </c>
      <c r="C13" s="14" t="str">
        <f>ﾄｰﾅﾒﾝﾄ!H110</f>
        <v>杉岡　瑞基</v>
      </c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  <c r="W13" s="23"/>
      <c r="Z13" s="33">
        <f>VLOOKUP(C13,ｼｰﾄﾞ!$K$6:$M$69,2,0)</f>
        <v>14</v>
      </c>
      <c r="AA13" s="33" t="str">
        <f>VLOOKUP(C13,ｼｰﾄﾞ!$K$6:$M$69,3,0)</f>
        <v>長野ジュニア</v>
      </c>
    </row>
    <row r="14" spans="1:27" ht="22.5" customHeight="1">
      <c r="A14" s="14">
        <f>IF(ISERROR(Z14),"",Z14)</f>
        <v>6</v>
      </c>
      <c r="B14" s="14" t="str">
        <f>IF(ISERROR(AA14),"",AA14)</f>
        <v>はしまモア</v>
      </c>
      <c r="C14" s="14" t="str">
        <f>ﾄｰﾅﾒﾝﾄ!H134</f>
        <v>河村　一摩</v>
      </c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23"/>
      <c r="Z14" s="33">
        <f>VLOOKUP(C14,ｼｰﾄﾞ!$K$6:$M$69,2,0)</f>
        <v>6</v>
      </c>
      <c r="AA14" s="33" t="str">
        <f>VLOOKUP(C14,ｼｰﾄﾞ!$K$6:$M$69,3,0)</f>
        <v>はしまモア</v>
      </c>
    </row>
    <row r="16" spans="1:27" ht="22.5" customHeight="1">
      <c r="A16" s="367" t="str">
        <f>"　"&amp;名簿!$A$2</f>
        <v>　中学男子</v>
      </c>
      <c r="B16" s="367"/>
      <c r="C16" s="367"/>
      <c r="D16" s="366" t="str">
        <f>$D$1</f>
        <v>　　トーナメント対戦表</v>
      </c>
      <c r="E16" s="366"/>
      <c r="F16" s="366"/>
      <c r="G16" s="366"/>
      <c r="H16" s="366"/>
      <c r="I16" s="366"/>
      <c r="J16" s="366"/>
      <c r="K16" s="366"/>
      <c r="L16" s="366" t="str">
        <f>$L$1</f>
        <v>準々決勝（４回戦）</v>
      </c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</row>
    <row r="17" spans="1:27" s="16" customFormat="1" ht="22.5" customHeight="1">
      <c r="A17" s="14" t="s">
        <v>43</v>
      </c>
      <c r="B17" s="14" t="s">
        <v>39</v>
      </c>
      <c r="C17" s="14" t="s">
        <v>38</v>
      </c>
      <c r="D17" s="17">
        <v>1</v>
      </c>
      <c r="E17" s="18">
        <v>2</v>
      </c>
      <c r="F17" s="18">
        <v>3</v>
      </c>
      <c r="G17" s="18">
        <v>4</v>
      </c>
      <c r="H17" s="18">
        <v>5</v>
      </c>
      <c r="I17" s="18">
        <v>6</v>
      </c>
      <c r="J17" s="18">
        <v>7</v>
      </c>
      <c r="K17" s="18">
        <v>8</v>
      </c>
      <c r="L17" s="18">
        <v>9</v>
      </c>
      <c r="M17" s="18">
        <v>10</v>
      </c>
      <c r="N17" s="18">
        <v>11</v>
      </c>
      <c r="O17" s="18">
        <v>12</v>
      </c>
      <c r="P17" s="18">
        <v>13</v>
      </c>
      <c r="Q17" s="18">
        <v>14</v>
      </c>
      <c r="R17" s="18">
        <v>15</v>
      </c>
      <c r="S17" s="18">
        <v>16</v>
      </c>
      <c r="T17" s="18">
        <v>17</v>
      </c>
      <c r="U17" s="18">
        <v>18</v>
      </c>
      <c r="V17" s="19">
        <v>19</v>
      </c>
      <c r="W17" s="14" t="s">
        <v>41</v>
      </c>
    </row>
    <row r="18" spans="1:27" ht="22.5" customHeight="1">
      <c r="A18" s="14">
        <f>IF(ISERROR(Z18),"",Z18)</f>
        <v>7</v>
      </c>
      <c r="B18" s="14" t="str">
        <f>IF(ISERROR(AA18),"",AA18)</f>
        <v>光が丘フェンシング</v>
      </c>
      <c r="C18" s="14" t="str">
        <f>ﾄｰﾅﾒﾝﾄ!H158</f>
        <v>黒澤　塁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3"/>
      <c r="Z18" s="33">
        <f>VLOOKUP(C18,ｼｰﾄﾞ!$K$6:$M$69,2,0)</f>
        <v>7</v>
      </c>
      <c r="AA18" s="33" t="str">
        <f>VLOOKUP(C18,ｼｰﾄﾞ!$K$6:$M$69,3,0)</f>
        <v>光が丘フェンシング</v>
      </c>
    </row>
    <row r="19" spans="1:27" ht="22.5" customHeight="1">
      <c r="A19" s="14">
        <f>IF(ISERROR(Z19),"",Z19)</f>
        <v>2</v>
      </c>
      <c r="B19" s="14" t="str">
        <f>IF(ISERROR(AA19),"",AA19)</f>
        <v>愛工大付属</v>
      </c>
      <c r="C19" s="14" t="str">
        <f>ﾄｰﾅﾒﾝﾄ!H182</f>
        <v>太田　拓輝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  <c r="W19" s="23"/>
      <c r="Z19" s="33">
        <f>VLOOKUP(C19,ｼｰﾄﾞ!$K$6:$M$69,2,0)</f>
        <v>2</v>
      </c>
      <c r="AA19" s="33" t="str">
        <f>VLOOKUP(C19,ｼｰﾄﾞ!$K$6:$M$69,3,0)</f>
        <v>愛工大付属</v>
      </c>
    </row>
  </sheetData>
  <mergeCells count="12">
    <mergeCell ref="A1:C1"/>
    <mergeCell ref="A6:C6"/>
    <mergeCell ref="A11:C11"/>
    <mergeCell ref="A16:C16"/>
    <mergeCell ref="D1:K1"/>
    <mergeCell ref="D16:K16"/>
    <mergeCell ref="L16:W16"/>
    <mergeCell ref="L1:W1"/>
    <mergeCell ref="D6:K6"/>
    <mergeCell ref="L6:W6"/>
    <mergeCell ref="D11:K11"/>
    <mergeCell ref="L11:W11"/>
  </mergeCells>
  <phoneticPr fontId="3"/>
  <printOptions horizontalCentered="1"/>
  <pageMargins left="0.78740157480314965" right="0.39370078740157483" top="0.51181102362204722" bottom="0.51181102362204722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zoomScale="85" workbookViewId="0">
      <selection activeCell="B20" sqref="B20"/>
    </sheetView>
  </sheetViews>
  <sheetFormatPr defaultColWidth="4" defaultRowHeight="23.25" customHeight="1" outlineLevelCol="1"/>
  <cols>
    <col min="1" max="1" width="4.5703125" style="16" customWidth="1"/>
    <col min="2" max="2" width="15.85546875" style="16" customWidth="1"/>
    <col min="3" max="3" width="16.42578125" style="16" bestFit="1" customWidth="1"/>
    <col min="4" max="16" width="4" style="24" customWidth="1"/>
    <col min="17" max="22" width="4" style="24" hidden="1" customWidth="1" outlineLevel="1"/>
    <col min="23" max="23" width="4" style="24" customWidth="1" collapsed="1"/>
    <col min="24" max="25" width="4" style="24" customWidth="1"/>
    <col min="26" max="26" width="3.85546875" style="24" hidden="1" customWidth="1" outlineLevel="1"/>
    <col min="27" max="27" width="17.42578125" style="24" hidden="1" customWidth="1" outlineLevel="1"/>
    <col min="28" max="28" width="4" style="24" customWidth="1" collapsed="1"/>
    <col min="29" max="16384" width="4" style="24"/>
  </cols>
  <sheetData>
    <row r="1" spans="1:27" ht="23.25" customHeight="1">
      <c r="A1" s="367" t="str">
        <f>名簿!$A$2</f>
        <v>中学男子</v>
      </c>
      <c r="B1" s="367"/>
      <c r="C1" s="367"/>
      <c r="D1" s="366" t="str">
        <f>'T1'!D1</f>
        <v>　　トーナメント対戦表</v>
      </c>
      <c r="E1" s="366"/>
      <c r="F1" s="366"/>
      <c r="G1" s="366"/>
      <c r="H1" s="366"/>
      <c r="I1" s="366"/>
      <c r="J1" s="366"/>
      <c r="K1" s="366"/>
      <c r="L1" s="366" t="s">
        <v>48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</row>
    <row r="2" spans="1:27" s="16" customFormat="1" ht="23.25" customHeight="1">
      <c r="A2" s="14" t="s">
        <v>43</v>
      </c>
      <c r="B2" s="14" t="s">
        <v>39</v>
      </c>
      <c r="C2" s="14" t="s">
        <v>38</v>
      </c>
      <c r="D2" s="17">
        <v>1</v>
      </c>
      <c r="E2" s="18">
        <v>2</v>
      </c>
      <c r="F2" s="18">
        <v>3</v>
      </c>
      <c r="G2" s="18">
        <v>4</v>
      </c>
      <c r="H2" s="18">
        <v>5</v>
      </c>
      <c r="I2" s="18">
        <v>6</v>
      </c>
      <c r="J2" s="18">
        <v>7</v>
      </c>
      <c r="K2" s="18">
        <v>8</v>
      </c>
      <c r="L2" s="18">
        <v>9</v>
      </c>
      <c r="M2" s="18">
        <v>10</v>
      </c>
      <c r="N2" s="18">
        <v>11</v>
      </c>
      <c r="O2" s="18">
        <v>12</v>
      </c>
      <c r="P2" s="18">
        <v>13</v>
      </c>
      <c r="Q2" s="18">
        <v>14</v>
      </c>
      <c r="R2" s="18">
        <v>15</v>
      </c>
      <c r="S2" s="18">
        <v>16</v>
      </c>
      <c r="T2" s="18">
        <v>17</v>
      </c>
      <c r="U2" s="18">
        <v>18</v>
      </c>
      <c r="V2" s="19">
        <v>19</v>
      </c>
      <c r="W2" s="14" t="s">
        <v>41</v>
      </c>
      <c r="X2" s="25"/>
    </row>
    <row r="3" spans="1:27" ht="23.25" customHeight="1">
      <c r="A3" s="14" t="str">
        <f>IF(ISERROR(Z3),"",Z3)</f>
        <v/>
      </c>
      <c r="B3" s="14" t="str">
        <f>IF(ISERROR(AA3),"",AA3)</f>
        <v/>
      </c>
      <c r="C3" s="14" t="e">
        <f>ﾄｰﾅﾒﾝﾄ!#REF!</f>
        <v>#REF!</v>
      </c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3"/>
      <c r="X3" s="26"/>
      <c r="Z3" s="33" t="e">
        <f>VLOOKUP(C3,ｼｰﾄﾞ!$K$6:$M$69,2,0)</f>
        <v>#REF!</v>
      </c>
      <c r="AA3" s="33" t="e">
        <f>VLOOKUP(C3,ｼｰﾄﾞ!$K$6:$M$69,3,0)</f>
        <v>#REF!</v>
      </c>
    </row>
    <row r="4" spans="1:27" ht="23.25" customHeight="1">
      <c r="A4" s="14" t="str">
        <f>IF(ISERROR(Z4),"",Z4)</f>
        <v/>
      </c>
      <c r="B4" s="14" t="str">
        <f>IF(ISERROR(AA4),"",AA4)</f>
        <v/>
      </c>
      <c r="C4" s="14" t="e">
        <f>ﾄｰﾅﾒﾝﾄ!#REF!</f>
        <v>#REF!</v>
      </c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  <c r="W4" s="23"/>
      <c r="X4" s="26"/>
      <c r="Z4" s="33" t="e">
        <f>VLOOKUP(C4,ｼｰﾄﾞ!$K$6:$M$69,2,0)</f>
        <v>#REF!</v>
      </c>
      <c r="AA4" s="33" t="e">
        <f>VLOOKUP(C4,ｼｰﾄﾞ!$K$6:$M$69,3,0)</f>
        <v>#REF!</v>
      </c>
    </row>
    <row r="6" spans="1:27" ht="23.25" customHeight="1">
      <c r="A6" s="367" t="str">
        <f>名簿!$A$2</f>
        <v>中学男子</v>
      </c>
      <c r="B6" s="367"/>
      <c r="C6" s="367"/>
      <c r="D6" s="366" t="str">
        <f>$D$1</f>
        <v>　　トーナメント対戦表</v>
      </c>
      <c r="E6" s="366"/>
      <c r="F6" s="366"/>
      <c r="G6" s="366"/>
      <c r="H6" s="366"/>
      <c r="I6" s="366"/>
      <c r="J6" s="366"/>
      <c r="K6" s="366"/>
      <c r="L6" s="366" t="str">
        <f>L1</f>
        <v>準決勝</v>
      </c>
      <c r="M6" s="366"/>
      <c r="N6" s="366"/>
      <c r="O6" s="366"/>
      <c r="P6" s="366"/>
      <c r="Q6" s="366"/>
      <c r="R6" s="366"/>
      <c r="S6" s="366"/>
      <c r="T6" s="366"/>
      <c r="U6" s="366"/>
      <c r="V6" s="366"/>
    </row>
    <row r="7" spans="1:27" s="16" customFormat="1" ht="23.25" customHeight="1">
      <c r="A7" s="14" t="s">
        <v>43</v>
      </c>
      <c r="B7" s="14" t="s">
        <v>39</v>
      </c>
      <c r="C7" s="14" t="s">
        <v>38</v>
      </c>
      <c r="D7" s="17">
        <v>1</v>
      </c>
      <c r="E7" s="18">
        <v>2</v>
      </c>
      <c r="F7" s="18">
        <v>3</v>
      </c>
      <c r="G7" s="18">
        <v>4</v>
      </c>
      <c r="H7" s="18">
        <v>5</v>
      </c>
      <c r="I7" s="18">
        <v>6</v>
      </c>
      <c r="J7" s="18">
        <v>7</v>
      </c>
      <c r="K7" s="18">
        <v>8</v>
      </c>
      <c r="L7" s="18">
        <v>9</v>
      </c>
      <c r="M7" s="18">
        <v>10</v>
      </c>
      <c r="N7" s="18">
        <v>11</v>
      </c>
      <c r="O7" s="18">
        <v>12</v>
      </c>
      <c r="P7" s="18">
        <v>13</v>
      </c>
      <c r="Q7" s="18">
        <v>14</v>
      </c>
      <c r="R7" s="18">
        <v>15</v>
      </c>
      <c r="S7" s="18">
        <v>16</v>
      </c>
      <c r="T7" s="18">
        <v>17</v>
      </c>
      <c r="U7" s="18">
        <v>18</v>
      </c>
      <c r="V7" s="19">
        <v>19</v>
      </c>
      <c r="W7" s="14" t="s">
        <v>41</v>
      </c>
    </row>
    <row r="8" spans="1:27" ht="23.25" customHeight="1">
      <c r="A8" s="14" t="str">
        <f>IF(ISERROR(Z8),"",Z8)</f>
        <v/>
      </c>
      <c r="B8" s="14" t="str">
        <f>IF(ISERROR(AA8),"",AA8)</f>
        <v/>
      </c>
      <c r="C8" s="14" t="e">
        <f>ﾄｰﾅﾒﾝﾄ!#REF!</f>
        <v>#REF!</v>
      </c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3"/>
      <c r="Z8" s="33" t="e">
        <f>VLOOKUP(C8,ｼｰﾄﾞ!$K$6:$M$69,2,0)</f>
        <v>#REF!</v>
      </c>
      <c r="AA8" s="33" t="e">
        <f>VLOOKUP(C8,ｼｰﾄﾞ!$K$6:$M$69,3,0)</f>
        <v>#REF!</v>
      </c>
    </row>
    <row r="9" spans="1:27" ht="23.25" customHeight="1">
      <c r="A9" s="14" t="str">
        <f>IF(ISERROR(Z9),"",Z9)</f>
        <v/>
      </c>
      <c r="B9" s="14" t="str">
        <f>IF(ISERROR(AA9),"",AA9)</f>
        <v/>
      </c>
      <c r="C9" s="14" t="e">
        <f>ﾄｰﾅﾒﾝﾄ!#REF!</f>
        <v>#REF!</v>
      </c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3"/>
      <c r="Z9" s="33" t="e">
        <f>VLOOKUP(C9,ｼｰﾄﾞ!$K$6:$M$69,2,0)</f>
        <v>#REF!</v>
      </c>
      <c r="AA9" s="33" t="e">
        <f>VLOOKUP(C9,ｼｰﾄﾞ!$K$6:$M$69,3,0)</f>
        <v>#REF!</v>
      </c>
    </row>
    <row r="12" spans="1:27" ht="23.25" customHeight="1">
      <c r="A12" s="367" t="str">
        <f>名簿!$A$2</f>
        <v>中学男子</v>
      </c>
      <c r="B12" s="367"/>
      <c r="C12" s="367"/>
      <c r="D12" s="366" t="str">
        <f>$D$1</f>
        <v>　　トーナメント対戦表</v>
      </c>
      <c r="E12" s="366"/>
      <c r="F12" s="366"/>
      <c r="G12" s="366"/>
      <c r="H12" s="366"/>
      <c r="I12" s="366"/>
      <c r="J12" s="366"/>
      <c r="K12" s="366"/>
      <c r="L12" s="368" t="s">
        <v>49</v>
      </c>
      <c r="M12" s="368"/>
      <c r="N12" s="368"/>
      <c r="O12" s="368"/>
      <c r="P12" s="368"/>
      <c r="Q12" s="368"/>
      <c r="R12" s="368"/>
      <c r="S12" s="368"/>
      <c r="T12" s="368"/>
      <c r="U12" s="368"/>
      <c r="V12" s="368"/>
    </row>
    <row r="13" spans="1:27" s="16" customFormat="1" ht="23.25" customHeight="1">
      <c r="A13" s="14" t="s">
        <v>43</v>
      </c>
      <c r="B13" s="14" t="s">
        <v>39</v>
      </c>
      <c r="C13" s="14" t="s">
        <v>38</v>
      </c>
      <c r="D13" s="17">
        <v>1</v>
      </c>
      <c r="E13" s="18">
        <v>2</v>
      </c>
      <c r="F13" s="18">
        <v>3</v>
      </c>
      <c r="G13" s="18">
        <v>4</v>
      </c>
      <c r="H13" s="18">
        <v>5</v>
      </c>
      <c r="I13" s="18">
        <v>6</v>
      </c>
      <c r="J13" s="18">
        <v>7</v>
      </c>
      <c r="K13" s="18">
        <v>8</v>
      </c>
      <c r="L13" s="18">
        <v>9</v>
      </c>
      <c r="M13" s="18">
        <v>10</v>
      </c>
      <c r="N13" s="18">
        <v>11</v>
      </c>
      <c r="O13" s="18">
        <v>12</v>
      </c>
      <c r="P13" s="18">
        <v>13</v>
      </c>
      <c r="Q13" s="18">
        <v>14</v>
      </c>
      <c r="R13" s="18">
        <v>15</v>
      </c>
      <c r="S13" s="18">
        <v>16</v>
      </c>
      <c r="T13" s="18">
        <v>17</v>
      </c>
      <c r="U13" s="18">
        <v>18</v>
      </c>
      <c r="V13" s="19">
        <v>19</v>
      </c>
      <c r="W13" s="14" t="s">
        <v>41</v>
      </c>
    </row>
    <row r="14" spans="1:27" ht="23.25" customHeight="1">
      <c r="A14" s="14" t="str">
        <f>IF(ISERROR(Z14),"",Z14)</f>
        <v/>
      </c>
      <c r="B14" s="14" t="str">
        <f>IF(ISERROR(AA14),"",AA14)</f>
        <v/>
      </c>
      <c r="C14" s="14" t="str">
        <f>ﾄｰﾅﾒﾝﾄ!L50</f>
        <v/>
      </c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23"/>
      <c r="Z14" s="33" t="str">
        <f>VLOOKUP(C14,ｼｰﾄﾞ!$K$6:$M$69,2,0)</f>
        <v/>
      </c>
      <c r="AA14" s="33" t="str">
        <f>VLOOKUP(C14,ｼｰﾄﾞ!$K$6:$M$69,3,0)</f>
        <v/>
      </c>
    </row>
    <row r="15" spans="1:27" ht="23.25" customHeight="1">
      <c r="A15" s="14" t="str">
        <f>IF(ISERROR(Z15),"",Z15)</f>
        <v/>
      </c>
      <c r="B15" s="14" t="str">
        <f>IF(ISERROR(AA15),"",AA15)</f>
        <v/>
      </c>
      <c r="C15" s="14" t="str">
        <f>ﾄｰﾅﾒﾝﾄ!L146</f>
        <v/>
      </c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W15" s="23"/>
      <c r="Z15" s="33" t="str">
        <f>VLOOKUP(C15,ｼｰﾄﾞ!$K$6:$M$69,2,0)</f>
        <v/>
      </c>
      <c r="AA15" s="33" t="str">
        <f>VLOOKUP(C15,ｼｰﾄﾞ!$K$6:$M$69,3,0)</f>
        <v/>
      </c>
    </row>
    <row r="18" spans="1:27" ht="23.25" customHeight="1">
      <c r="A18" s="367" t="str">
        <f>名簿!$A$2</f>
        <v>中学男子</v>
      </c>
      <c r="B18" s="367"/>
      <c r="C18" s="367"/>
      <c r="D18" s="366" t="str">
        <f>$D$1</f>
        <v>　　トーナメント対戦表</v>
      </c>
      <c r="E18" s="366"/>
      <c r="F18" s="366"/>
      <c r="G18" s="366"/>
      <c r="H18" s="366"/>
      <c r="I18" s="366"/>
      <c r="J18" s="366"/>
      <c r="K18" s="366"/>
      <c r="L18" s="368" t="s">
        <v>50</v>
      </c>
      <c r="M18" s="368"/>
      <c r="N18" s="368"/>
      <c r="O18" s="368"/>
      <c r="P18" s="368"/>
      <c r="Q18" s="368"/>
      <c r="R18" s="368"/>
      <c r="S18" s="368"/>
      <c r="T18" s="368"/>
      <c r="U18" s="368"/>
      <c r="V18" s="368"/>
    </row>
    <row r="19" spans="1:27" s="16" customFormat="1" ht="23.25" customHeight="1">
      <c r="A19" s="14" t="s">
        <v>43</v>
      </c>
      <c r="B19" s="14" t="s">
        <v>39</v>
      </c>
      <c r="C19" s="14" t="s">
        <v>38</v>
      </c>
      <c r="D19" s="17">
        <v>1</v>
      </c>
      <c r="E19" s="18">
        <v>2</v>
      </c>
      <c r="F19" s="18">
        <v>3</v>
      </c>
      <c r="G19" s="18">
        <v>4</v>
      </c>
      <c r="H19" s="18">
        <v>5</v>
      </c>
      <c r="I19" s="18">
        <v>6</v>
      </c>
      <c r="J19" s="18">
        <v>7</v>
      </c>
      <c r="K19" s="18">
        <v>8</v>
      </c>
      <c r="L19" s="18">
        <v>9</v>
      </c>
      <c r="M19" s="18">
        <v>10</v>
      </c>
      <c r="N19" s="18">
        <v>11</v>
      </c>
      <c r="O19" s="18">
        <v>12</v>
      </c>
      <c r="P19" s="18">
        <v>13</v>
      </c>
      <c r="Q19" s="18">
        <v>14</v>
      </c>
      <c r="R19" s="18">
        <v>15</v>
      </c>
      <c r="S19" s="18">
        <v>16</v>
      </c>
      <c r="T19" s="18">
        <v>17</v>
      </c>
      <c r="U19" s="18">
        <v>18</v>
      </c>
      <c r="V19" s="19">
        <v>19</v>
      </c>
      <c r="W19" s="14" t="s">
        <v>41</v>
      </c>
    </row>
    <row r="20" spans="1:27" ht="23.25" customHeight="1">
      <c r="A20" s="14">
        <f>IF(ISERROR(Z20),"",Z20)</f>
        <v>1</v>
      </c>
      <c r="B20" s="14" t="str">
        <f>IF(ISERROR(AA20),"",AA20)</f>
        <v>はしまモア</v>
      </c>
      <c r="C20" s="14" t="str">
        <f>ﾄｰﾅﾒﾝﾄ!L186</f>
        <v>福田　亮介</v>
      </c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/>
      <c r="W20" s="23"/>
      <c r="Z20" s="33">
        <f>VLOOKUP(C20,ｼｰﾄﾞ!$K$6:$M$69,2,0)</f>
        <v>1</v>
      </c>
      <c r="AA20" s="33" t="str">
        <f>VLOOKUP(C20,ｼｰﾄﾞ!$K$6:$M$69,3,0)</f>
        <v>はしまモア</v>
      </c>
    </row>
    <row r="21" spans="1:27" ht="23.25" customHeight="1">
      <c r="A21" s="14">
        <f>IF(ISERROR(Z21),"",Z21)</f>
        <v>2</v>
      </c>
      <c r="B21" s="14" t="str">
        <f>IF(ISERROR(AA21),"",AA21)</f>
        <v>愛工大付属</v>
      </c>
      <c r="C21" s="14" t="str">
        <f>ﾄｰﾅﾒﾝﾄ!L192</f>
        <v>太田　拓輝</v>
      </c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2"/>
      <c r="W21" s="23"/>
      <c r="Z21" s="33">
        <f>VLOOKUP(C21,ｼｰﾄﾞ!$K$6:$M$69,2,0)</f>
        <v>2</v>
      </c>
      <c r="AA21" s="33" t="str">
        <f>VLOOKUP(C21,ｼｰﾄﾞ!$K$6:$M$69,3,0)</f>
        <v>愛工大付属</v>
      </c>
    </row>
  </sheetData>
  <mergeCells count="12">
    <mergeCell ref="D18:K18"/>
    <mergeCell ref="L18:V18"/>
    <mergeCell ref="D1:K1"/>
    <mergeCell ref="L1:V1"/>
    <mergeCell ref="A1:C1"/>
    <mergeCell ref="A6:C6"/>
    <mergeCell ref="A12:C12"/>
    <mergeCell ref="A18:C18"/>
    <mergeCell ref="D6:K6"/>
    <mergeCell ref="L6:V6"/>
    <mergeCell ref="D12:K12"/>
    <mergeCell ref="L12:V12"/>
  </mergeCells>
  <phoneticPr fontId="3"/>
  <printOptions horizontalCentered="1"/>
  <pageMargins left="0.78740157480314965" right="0.39370078740157483" top="0.51181102362204722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101"/>
  <sheetViews>
    <sheetView view="pageBreakPreview" zoomScale="90" zoomScaleNormal="100" zoomScaleSheetLayoutView="90" workbookViewId="0">
      <selection activeCell="J58" sqref="J58"/>
    </sheetView>
  </sheetViews>
  <sheetFormatPr defaultRowHeight="12" outlineLevelCol="1"/>
  <cols>
    <col min="1" max="2" width="3.7109375" style="112" bestFit="1" customWidth="1"/>
    <col min="3" max="3" width="3.5703125" style="112" bestFit="1" customWidth="1"/>
    <col min="4" max="4" width="5.42578125" style="112" hidden="1" customWidth="1" outlineLevel="1"/>
    <col min="5" max="5" width="19.140625" style="113" bestFit="1" customWidth="1" collapsed="1"/>
    <col min="6" max="6" width="15.140625" style="112" bestFit="1" customWidth="1"/>
    <col min="7" max="12" width="3.5703125" style="112" bestFit="1" customWidth="1"/>
    <col min="13" max="24" width="2.7109375" style="112" hidden="1" customWidth="1" outlineLevel="1"/>
    <col min="25" max="25" width="5.42578125" style="112" hidden="1" customWidth="1" outlineLevel="1"/>
    <col min="26" max="26" width="5.42578125" style="112" bestFit="1" customWidth="1" collapsed="1"/>
    <col min="27" max="27" width="5.42578125" style="112" bestFit="1" customWidth="1"/>
    <col min="28" max="28" width="6.140625" style="112" bestFit="1" customWidth="1"/>
    <col min="29" max="29" width="4" style="112" bestFit="1" customWidth="1"/>
    <col min="30" max="30" width="5.42578125" style="112" bestFit="1" customWidth="1"/>
    <col min="31" max="31" width="7.28515625" style="112" bestFit="1" customWidth="1"/>
    <col min="32" max="32" width="7.28515625" style="112" customWidth="1"/>
    <col min="33" max="33" width="5.42578125" style="112" bestFit="1" customWidth="1"/>
    <col min="34" max="34" width="11.7109375" style="112" bestFit="1" customWidth="1"/>
    <col min="35" max="35" width="5.42578125" style="114" bestFit="1" customWidth="1"/>
    <col min="36" max="38" width="9.140625" style="112"/>
    <col min="39" max="44" width="2.7109375" style="112" bestFit="1" customWidth="1"/>
    <col min="45" max="16384" width="9.140625" style="112"/>
  </cols>
  <sheetData>
    <row r="1" spans="1:44">
      <c r="A1" s="310" t="str">
        <f>名簿!A1</f>
        <v>第9回川本杯はしまモアフェンシング大会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I1" s="112"/>
    </row>
    <row r="2" spans="1:44">
      <c r="A2" s="310" t="str">
        <f>"　"&amp;名簿!A2</f>
        <v>　中学男子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I2" s="112"/>
      <c r="AJ2" s="160"/>
    </row>
    <row r="3" spans="1:44">
      <c r="A3" s="311" t="str">
        <f>"　　"&amp;名簿!A3</f>
        <v>　　1回戦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2">
        <f>名簿!E3</f>
        <v>43184</v>
      </c>
      <c r="AC3" s="312"/>
      <c r="AD3" s="312"/>
      <c r="AE3" s="312"/>
      <c r="AF3" s="161"/>
      <c r="AG3" s="161"/>
      <c r="AI3" s="112"/>
    </row>
    <row r="4" spans="1:44" ht="24">
      <c r="A4" s="162" t="s">
        <v>57</v>
      </c>
      <c r="B4" s="162" t="s">
        <v>15</v>
      </c>
      <c r="C4" s="163" t="s">
        <v>14</v>
      </c>
      <c r="D4" s="162" t="s">
        <v>3</v>
      </c>
      <c r="E4" s="164" t="s">
        <v>16</v>
      </c>
      <c r="F4" s="163" t="s">
        <v>8</v>
      </c>
      <c r="G4" s="165">
        <v>1</v>
      </c>
      <c r="H4" s="166">
        <v>2</v>
      </c>
      <c r="I4" s="166">
        <v>3</v>
      </c>
      <c r="J4" s="166">
        <v>4</v>
      </c>
      <c r="K4" s="166">
        <v>5</v>
      </c>
      <c r="L4" s="167">
        <v>6</v>
      </c>
      <c r="M4" s="165">
        <v>1</v>
      </c>
      <c r="N4" s="166">
        <v>2</v>
      </c>
      <c r="O4" s="166">
        <v>3</v>
      </c>
      <c r="P4" s="166">
        <v>4</v>
      </c>
      <c r="Q4" s="166">
        <v>5</v>
      </c>
      <c r="R4" s="168">
        <v>6</v>
      </c>
      <c r="S4" s="165">
        <v>1</v>
      </c>
      <c r="T4" s="166">
        <v>2</v>
      </c>
      <c r="U4" s="166">
        <v>3</v>
      </c>
      <c r="V4" s="166">
        <v>4</v>
      </c>
      <c r="W4" s="166">
        <v>5</v>
      </c>
      <c r="X4" s="168">
        <v>6</v>
      </c>
      <c r="Y4" s="169" t="s">
        <v>3</v>
      </c>
      <c r="Z4" s="170" t="s">
        <v>35</v>
      </c>
      <c r="AA4" s="171" t="s">
        <v>36</v>
      </c>
      <c r="AB4" s="162" t="s">
        <v>61</v>
      </c>
      <c r="AC4" s="170" t="s">
        <v>69</v>
      </c>
      <c r="AD4" s="171" t="s">
        <v>70</v>
      </c>
      <c r="AE4" s="162" t="s">
        <v>71</v>
      </c>
      <c r="AF4" s="162" t="s">
        <v>68</v>
      </c>
      <c r="AG4" s="172" t="s">
        <v>63</v>
      </c>
      <c r="AH4" s="172"/>
      <c r="AJ4" s="173"/>
      <c r="AK4" s="172"/>
      <c r="AM4" s="174" t="s">
        <v>9</v>
      </c>
      <c r="AN4" s="174"/>
      <c r="AO4" s="174"/>
      <c r="AP4" s="174"/>
      <c r="AQ4" s="174"/>
      <c r="AR4" s="174"/>
    </row>
    <row r="5" spans="1:44" ht="12" customHeight="1">
      <c r="A5" s="175">
        <v>1</v>
      </c>
      <c r="B5" s="176">
        <v>1</v>
      </c>
      <c r="C5" s="177">
        <f>IF(F5="","",1)</f>
        <v>1</v>
      </c>
      <c r="D5" s="178">
        <f t="shared" ref="D5:D36" si="0">IF(B5&gt;0,RANK(AH5,$AH$5:$AH$100,0),"")</f>
        <v>2</v>
      </c>
      <c r="E5" s="179" t="str">
        <f>IF(ISERROR(VLOOKUP(B5,名簿,2,FALSE)),"",VLOOKUP(B5,名簿,2,FALSE))</f>
        <v>愛工大付属</v>
      </c>
      <c r="F5" s="180" t="str">
        <f t="shared" ref="F5:F36" si="1">IF(ISERROR(VLOOKUP(B5,名簿,3,FALSE)),"",VLOOKUP(B5,名簿,3,FALSE))</f>
        <v>太田　拓輝</v>
      </c>
      <c r="G5" s="181"/>
      <c r="H5" s="182" t="s">
        <v>199</v>
      </c>
      <c r="I5" s="182" t="s">
        <v>199</v>
      </c>
      <c r="J5" s="182" t="s">
        <v>199</v>
      </c>
      <c r="K5" s="182" t="s">
        <v>201</v>
      </c>
      <c r="L5" s="183" t="s">
        <v>199</v>
      </c>
      <c r="M5" s="184"/>
      <c r="N5" s="185" t="str">
        <f>LEFT(H5,1)</f>
        <v>v</v>
      </c>
      <c r="O5" s="185" t="str">
        <f>LEFT(I5,1)</f>
        <v>v</v>
      </c>
      <c r="P5" s="185" t="str">
        <f>LEFT(J5,1)</f>
        <v>v</v>
      </c>
      <c r="Q5" s="185" t="str">
        <f>LEFT(K5,1)</f>
        <v>v</v>
      </c>
      <c r="R5" s="186" t="str">
        <f>LEFT(L5,1)</f>
        <v>v</v>
      </c>
      <c r="S5" s="184"/>
      <c r="T5" s="185">
        <f>IF(ISERROR(VALUE(RIGHT(H5,1))),"",VALUE(RIGHT(H5,1)))</f>
        <v>5</v>
      </c>
      <c r="U5" s="185">
        <f>IF(ISERROR(VALUE(RIGHT(I5,1))),"",VALUE(RIGHT(I5,1)))</f>
        <v>5</v>
      </c>
      <c r="V5" s="185">
        <f>IF(ISERROR(VALUE(RIGHT(J5,1))),"",VALUE(RIGHT(J5,1)))</f>
        <v>5</v>
      </c>
      <c r="W5" s="185">
        <f>IF(ISERROR(VALUE(RIGHT(K5,1))),"",VALUE(RIGHT(K5,1)))</f>
        <v>5</v>
      </c>
      <c r="X5" s="186">
        <f>IF(ISERROR(VALUE(RIGHT(L5,1))),"",VALUE(RIGHT(L5,1)))</f>
        <v>5</v>
      </c>
      <c r="Y5" s="187">
        <f>D5</f>
        <v>2</v>
      </c>
      <c r="Z5" s="188">
        <f t="shared" ref="Z5:Z36" si="2">IF(B5&gt;0,COUNTA(G5:L5),"")</f>
        <v>5</v>
      </c>
      <c r="AA5" s="189">
        <f t="shared" ref="AA5:AA36" si="3">IF(B5&gt;0,COUNTIF(M5:R5,"V"),"")</f>
        <v>5</v>
      </c>
      <c r="AB5" s="190">
        <f t="shared" ref="AB5:AB36" si="4">IF(ISERROR(ROUND(AA5/Z5,3)),"",ROUND(AA5/Z5,3))</f>
        <v>1</v>
      </c>
      <c r="AC5" s="191">
        <f>IF(B5&gt;0,SUM(S5:X5),"")</f>
        <v>25</v>
      </c>
      <c r="AD5" s="189">
        <f>IF(B5&gt;0,SUM(S5:S10),"")</f>
        <v>3</v>
      </c>
      <c r="AE5" s="178">
        <f>IF(AD5&lt;0,99,IF(ISERROR(AC5-AD5),"",AC5-AD5))</f>
        <v>22</v>
      </c>
      <c r="AF5" s="178">
        <f>IF(ISERROR(D5),"",D5)</f>
        <v>2</v>
      </c>
      <c r="AG5" s="241"/>
      <c r="AH5" s="244">
        <f>IF(B5&gt;0,AB5*100000000+AE5*100000+AC5*1000+AC5*10-B5,"")</f>
        <v>102225249</v>
      </c>
      <c r="AJ5" s="192"/>
      <c r="AK5" s="192"/>
      <c r="AM5" s="193"/>
      <c r="AN5" s="194">
        <f>IF(N5="V",IF(M6="D",0,1),IF(N5="D",IF(M6="V",0,1),1))</f>
        <v>1</v>
      </c>
      <c r="AO5" s="194">
        <f>IF(O5="V",IF(M7="D",0,1),IF(O5="D",IF(M7="V",0,1),1))</f>
        <v>1</v>
      </c>
      <c r="AP5" s="194">
        <f>IF(P5="V",IF(M8="D",0,1),IF(P5="D",IF(M8="V",0,1),1))</f>
        <v>1</v>
      </c>
      <c r="AQ5" s="194">
        <f>IF(Q5="V",IF(M9="D",0,1),IF(Q5="D",IF(M9="V",0,1),1))</f>
        <v>1</v>
      </c>
      <c r="AR5" s="195">
        <f>IF(R5="V",IF(M10="D",0,1),IF(R5="D",IF(M10="V",0,1),1))</f>
        <v>1</v>
      </c>
    </row>
    <row r="6" spans="1:44" ht="12" customHeight="1">
      <c r="A6" s="196">
        <f>IF(B6="","",1)</f>
        <v>1</v>
      </c>
      <c r="B6" s="197">
        <v>18</v>
      </c>
      <c r="C6" s="198">
        <f>IF(F6="","",2)</f>
        <v>2</v>
      </c>
      <c r="D6" s="199">
        <f t="shared" si="0"/>
        <v>40</v>
      </c>
      <c r="E6" s="200" t="str">
        <f t="shared" ref="E6:E36" si="5">IF(ISERROR(VLOOKUP(B6,名簿,2,FALSE)),"",VLOOKUP(B6,名簿,2,FALSE))</f>
        <v>速星中学校</v>
      </c>
      <c r="F6" s="201" t="str">
        <f t="shared" si="1"/>
        <v>長畑　知大</v>
      </c>
      <c r="G6" s="202">
        <v>1</v>
      </c>
      <c r="H6" s="203"/>
      <c r="I6" s="204" t="s">
        <v>202</v>
      </c>
      <c r="J6" s="204">
        <v>0</v>
      </c>
      <c r="K6" s="204">
        <v>0</v>
      </c>
      <c r="L6" s="205">
        <v>1</v>
      </c>
      <c r="M6" s="206" t="str">
        <f>LEFT(G6,1)</f>
        <v>1</v>
      </c>
      <c r="N6" s="207"/>
      <c r="O6" s="207" t="str">
        <f t="shared" ref="O6:O11" si="6">LEFT(I6,1)</f>
        <v>v</v>
      </c>
      <c r="P6" s="207" t="str">
        <f t="shared" ref="P6:P11" si="7">LEFT(J6,1)</f>
        <v>0</v>
      </c>
      <c r="Q6" s="207" t="str">
        <f t="shared" ref="Q6:Q11" si="8">LEFT(K6,1)</f>
        <v>0</v>
      </c>
      <c r="R6" s="208" t="str">
        <f t="shared" ref="R6:R11" si="9">LEFT(L6,1)</f>
        <v>1</v>
      </c>
      <c r="S6" s="206">
        <f>IF(ISERROR(VALUE(RIGHT(G6,1))),"",VALUE(RIGHT(G6,1)))</f>
        <v>1</v>
      </c>
      <c r="T6" s="207"/>
      <c r="U6" s="207">
        <f>IF(ISERROR(VALUE(RIGHT(I6,1))),"",VALUE(RIGHT(I6,1)))</f>
        <v>5</v>
      </c>
      <c r="V6" s="207">
        <f>IF(ISERROR(VALUE(RIGHT(J6,1))),"",VALUE(RIGHT(J6,1)))</f>
        <v>0</v>
      </c>
      <c r="W6" s="207">
        <f>IF(ISERROR(VALUE(RIGHT(K6,1))),"",VALUE(RIGHT(K6,1)))</f>
        <v>0</v>
      </c>
      <c r="X6" s="208">
        <f>IF(ISERROR(VALUE(RIGHT(L6,1))),"",VALUE(RIGHT(L6,1)))</f>
        <v>1</v>
      </c>
      <c r="Y6" s="209">
        <f t="shared" ref="Y6:Y69" si="10">D6</f>
        <v>40</v>
      </c>
      <c r="Z6" s="210">
        <f t="shared" si="2"/>
        <v>5</v>
      </c>
      <c r="AA6" s="211">
        <f t="shared" si="3"/>
        <v>1</v>
      </c>
      <c r="AB6" s="212">
        <f t="shared" si="4"/>
        <v>0.2</v>
      </c>
      <c r="AC6" s="213">
        <f t="shared" ref="AC6:AC36" si="11">IF(B6&gt;0,SUM(S6:X6),"")</f>
        <v>7</v>
      </c>
      <c r="AD6" s="211">
        <f>IF(B6&gt;0,SUM(T5:T10),"")</f>
        <v>23</v>
      </c>
      <c r="AE6" s="199">
        <f t="shared" ref="AE6:AE69" si="12">IF(AD6&lt;0,99,IF(ISERROR(AC6-AD6),"",AC6-AD6))</f>
        <v>-16</v>
      </c>
      <c r="AF6" s="199">
        <f t="shared" ref="AF6:AF15" si="13">IF(ISERROR(D6),"",D6)</f>
        <v>40</v>
      </c>
      <c r="AG6" s="242"/>
      <c r="AH6" s="245">
        <f t="shared" ref="AH6:AH69" si="14">IF(B6&gt;0,AB6*100000000+AE6*100000+AC6*1000+AC6*10-B6,"")</f>
        <v>18407052</v>
      </c>
      <c r="AJ6" s="192"/>
      <c r="AK6" s="192"/>
      <c r="AM6" s="214">
        <f>IF(N5="V",IF(M6="D",0,1),IF(N5="D",IF(M6="V",0,1),1))</f>
        <v>1</v>
      </c>
      <c r="AN6" s="215"/>
      <c r="AO6" s="215">
        <f>IF(O6="V",IF(N7="D",0,1),IF(O6="D",IF(N7="V",0,1),1))</f>
        <v>1</v>
      </c>
      <c r="AP6" s="215">
        <f>IF(P6="V",IF(N8="D",0,1),IF(P6="D",IF(N8="V",0,1),1))</f>
        <v>1</v>
      </c>
      <c r="AQ6" s="215">
        <f>IF(Q6="V",IF(N9="D",0,1),IF(Q6="D",IF(N9="V",0,1),1))</f>
        <v>1</v>
      </c>
      <c r="AR6" s="216">
        <f>IF(R6="V",IF(N10="D",0,1),IF(R6="D",IF(N10="V",0,1),1))</f>
        <v>1</v>
      </c>
    </row>
    <row r="7" spans="1:44" ht="12" customHeight="1">
      <c r="A7" s="196">
        <f>IF(B7="","",1)</f>
        <v>1</v>
      </c>
      <c r="B7" s="197">
        <v>25</v>
      </c>
      <c r="C7" s="198">
        <f>IF(F7="","",3)</f>
        <v>3</v>
      </c>
      <c r="D7" s="199">
        <f t="shared" si="0"/>
        <v>49</v>
      </c>
      <c r="E7" s="200" t="str">
        <f t="shared" si="5"/>
        <v>武生二中</v>
      </c>
      <c r="F7" s="201" t="str">
        <f>IF(ISERROR(VLOOKUP(B7,名簿,3,FALSE)),"",VLOOKUP(B7,名簿,3,FALSE))</f>
        <v>山本　雄飛</v>
      </c>
      <c r="G7" s="202">
        <v>0</v>
      </c>
      <c r="H7" s="204">
        <v>3</v>
      </c>
      <c r="I7" s="203"/>
      <c r="J7" s="204">
        <v>0</v>
      </c>
      <c r="K7" s="204">
        <v>1</v>
      </c>
      <c r="L7" s="205">
        <v>0</v>
      </c>
      <c r="M7" s="206" t="str">
        <f>LEFT(G7,1)</f>
        <v>0</v>
      </c>
      <c r="N7" s="207" t="str">
        <f>LEFT(H7,1)</f>
        <v>3</v>
      </c>
      <c r="O7" s="207"/>
      <c r="P7" s="207" t="str">
        <f t="shared" si="7"/>
        <v>0</v>
      </c>
      <c r="Q7" s="207" t="str">
        <f t="shared" si="8"/>
        <v>1</v>
      </c>
      <c r="R7" s="208" t="str">
        <f t="shared" si="9"/>
        <v>0</v>
      </c>
      <c r="S7" s="206">
        <f>IF(ISERROR(VALUE(RIGHT(G7,1))),"",VALUE(RIGHT(G7,1)))</f>
        <v>0</v>
      </c>
      <c r="T7" s="207">
        <f>IF(ISERROR(VALUE(RIGHT(H7,1))),"",VALUE(RIGHT(H7,1)))</f>
        <v>3</v>
      </c>
      <c r="U7" s="207"/>
      <c r="V7" s="207">
        <f>IF(ISERROR(VALUE(RIGHT(J7,1))),"",VALUE(RIGHT(J7,1)))</f>
        <v>0</v>
      </c>
      <c r="W7" s="207">
        <f>IF(ISERROR(VALUE(RIGHT(K7,1))),"",VALUE(RIGHT(K7,1)))</f>
        <v>1</v>
      </c>
      <c r="X7" s="208">
        <f>IF(ISERROR(VALUE(RIGHT(L7,1))),"",VALUE(RIGHT(L7,1)))</f>
        <v>0</v>
      </c>
      <c r="Y7" s="209">
        <f t="shared" si="10"/>
        <v>49</v>
      </c>
      <c r="Z7" s="210">
        <f t="shared" si="2"/>
        <v>5</v>
      </c>
      <c r="AA7" s="211">
        <f t="shared" si="3"/>
        <v>0</v>
      </c>
      <c r="AB7" s="212">
        <f t="shared" si="4"/>
        <v>0</v>
      </c>
      <c r="AC7" s="213">
        <f t="shared" si="11"/>
        <v>4</v>
      </c>
      <c r="AD7" s="211">
        <f>IF(B7&gt;0,SUM(U5:U10),"")</f>
        <v>25</v>
      </c>
      <c r="AE7" s="199">
        <f t="shared" si="12"/>
        <v>-21</v>
      </c>
      <c r="AF7" s="199">
        <f t="shared" si="13"/>
        <v>49</v>
      </c>
      <c r="AG7" s="242"/>
      <c r="AH7" s="245">
        <f t="shared" si="14"/>
        <v>-2095985</v>
      </c>
      <c r="AJ7" s="192"/>
      <c r="AK7" s="192"/>
      <c r="AM7" s="214">
        <f>IF(O5="V",IF(M7="D",0,1),IF(O5="D",IF(M7="V",0,1),1))</f>
        <v>1</v>
      </c>
      <c r="AN7" s="215">
        <f>IF(O6="V",IF(N7="D",0,1),IF(O6="D",IF(N7="V",0,1),1))</f>
        <v>1</v>
      </c>
      <c r="AO7" s="215"/>
      <c r="AP7" s="215">
        <f>IF(P7="V",IF(O8="D",0,1),IF(P7="D",IF(O8="V",0,1),1))</f>
        <v>1</v>
      </c>
      <c r="AQ7" s="215">
        <f>IF(Q7="V",IF(O9="D",0,1),IF(Q7="D",IF(O9="V",0,1),1))</f>
        <v>1</v>
      </c>
      <c r="AR7" s="216">
        <f>IF(R7="V",IF(O10="D",0,1),IF(R7="D",IF(O10="V",0,1),1))</f>
        <v>1</v>
      </c>
    </row>
    <row r="8" spans="1:44" ht="12" customHeight="1">
      <c r="A8" s="196">
        <f>IF(B8="","",1)</f>
        <v>1</v>
      </c>
      <c r="B8" s="197">
        <v>36</v>
      </c>
      <c r="C8" s="198">
        <f>IF(F8="","",4)</f>
        <v>4</v>
      </c>
      <c r="D8" s="199">
        <f t="shared" si="0"/>
        <v>18</v>
      </c>
      <c r="E8" s="200" t="str">
        <f t="shared" si="5"/>
        <v>ワセダクラブ</v>
      </c>
      <c r="F8" s="201" t="str">
        <f t="shared" si="1"/>
        <v>林　祥太郎</v>
      </c>
      <c r="G8" s="202">
        <v>1</v>
      </c>
      <c r="H8" s="204" t="s">
        <v>199</v>
      </c>
      <c r="I8" s="204" t="s">
        <v>199</v>
      </c>
      <c r="J8" s="203"/>
      <c r="K8" s="204">
        <v>4</v>
      </c>
      <c r="L8" s="205" t="s">
        <v>199</v>
      </c>
      <c r="M8" s="206" t="str">
        <f>LEFT(G8,1)</f>
        <v>1</v>
      </c>
      <c r="N8" s="207" t="str">
        <f>LEFT(H8,1)</f>
        <v>v</v>
      </c>
      <c r="O8" s="207" t="str">
        <f t="shared" si="6"/>
        <v>v</v>
      </c>
      <c r="P8" s="207"/>
      <c r="Q8" s="207" t="str">
        <f t="shared" si="8"/>
        <v>4</v>
      </c>
      <c r="R8" s="208" t="str">
        <f t="shared" si="9"/>
        <v>v</v>
      </c>
      <c r="S8" s="206">
        <f>IF(ISERROR(VALUE(RIGHT(G8,1))),"",VALUE(RIGHT(G8,1)))</f>
        <v>1</v>
      </c>
      <c r="T8" s="207">
        <f>IF(ISERROR(VALUE(RIGHT(H8,1))),"",VALUE(RIGHT(H8,1)))</f>
        <v>5</v>
      </c>
      <c r="U8" s="207">
        <f>IF(ISERROR(VALUE(RIGHT(I8,1))),"",VALUE(RIGHT(I8,1)))</f>
        <v>5</v>
      </c>
      <c r="V8" s="207"/>
      <c r="W8" s="207">
        <f>IF(ISERROR(VALUE(RIGHT(K8,1))),"",VALUE(RIGHT(K8,1)))</f>
        <v>4</v>
      </c>
      <c r="X8" s="208">
        <f>IF(ISERROR(VALUE(RIGHT(L8,1))),"",VALUE(RIGHT(L8,1)))</f>
        <v>5</v>
      </c>
      <c r="Y8" s="209">
        <f t="shared" si="10"/>
        <v>18</v>
      </c>
      <c r="Z8" s="210">
        <f t="shared" si="2"/>
        <v>5</v>
      </c>
      <c r="AA8" s="211">
        <f t="shared" si="3"/>
        <v>3</v>
      </c>
      <c r="AB8" s="212">
        <f t="shared" si="4"/>
        <v>0.6</v>
      </c>
      <c r="AC8" s="213">
        <f t="shared" si="11"/>
        <v>20</v>
      </c>
      <c r="AD8" s="211">
        <f>IF(B8&gt;0,SUM(V5:V10),"")</f>
        <v>12</v>
      </c>
      <c r="AE8" s="199">
        <f t="shared" si="12"/>
        <v>8</v>
      </c>
      <c r="AF8" s="199">
        <f t="shared" si="13"/>
        <v>18</v>
      </c>
      <c r="AG8" s="242"/>
      <c r="AH8" s="245">
        <f t="shared" si="14"/>
        <v>60820164</v>
      </c>
      <c r="AJ8" s="192"/>
      <c r="AK8" s="192"/>
      <c r="AM8" s="214">
        <f>IF(P5="V",IF(M8="D",0,1),IF(P5="D",IF(M8="V",0,1),1))</f>
        <v>1</v>
      </c>
      <c r="AN8" s="215">
        <f>IF(P6="V",IF(N8="D",0,1),IF(P6="D",IF(N8="V",0,1),1))</f>
        <v>1</v>
      </c>
      <c r="AO8" s="215">
        <f>IF(P7="V",IF(O8="D",0,1),IF(P7="D",IF(O8="V",0,1),1))</f>
        <v>1</v>
      </c>
      <c r="AP8" s="215"/>
      <c r="AQ8" s="215">
        <f>IF(Q8="V",IF(P9="D",0,1),IF(Q8="D",IF(P9="V",0,1),1))</f>
        <v>1</v>
      </c>
      <c r="AR8" s="216">
        <f>IF(R8="V",IF(P10="D",0,1),IF(R8="D",IF(P10="V",0,1),1))</f>
        <v>1</v>
      </c>
    </row>
    <row r="9" spans="1:44" ht="12" customHeight="1">
      <c r="A9" s="196">
        <f>IF(B9="","",1)</f>
        <v>1</v>
      </c>
      <c r="B9" s="197">
        <v>37</v>
      </c>
      <c r="C9" s="198">
        <f>IF(F9="","",5)</f>
        <v>5</v>
      </c>
      <c r="D9" s="199">
        <f t="shared" si="0"/>
        <v>10</v>
      </c>
      <c r="E9" s="200" t="str">
        <f t="shared" si="5"/>
        <v>河南町フェンシング</v>
      </c>
      <c r="F9" s="201" t="str">
        <f t="shared" si="1"/>
        <v>菊元　雪</v>
      </c>
      <c r="G9" s="202">
        <v>1</v>
      </c>
      <c r="H9" s="204" t="s">
        <v>199</v>
      </c>
      <c r="I9" s="204" t="s">
        <v>199</v>
      </c>
      <c r="J9" s="204" t="s">
        <v>199</v>
      </c>
      <c r="K9" s="203"/>
      <c r="L9" s="205" t="s">
        <v>199</v>
      </c>
      <c r="M9" s="206" t="str">
        <f>LEFT(G9,1)</f>
        <v>1</v>
      </c>
      <c r="N9" s="207" t="str">
        <f>LEFT(H9,1)</f>
        <v>v</v>
      </c>
      <c r="O9" s="207" t="str">
        <f t="shared" si="6"/>
        <v>v</v>
      </c>
      <c r="P9" s="207" t="str">
        <f t="shared" si="7"/>
        <v>v</v>
      </c>
      <c r="Q9" s="207"/>
      <c r="R9" s="208" t="str">
        <f t="shared" si="9"/>
        <v>v</v>
      </c>
      <c r="S9" s="206">
        <f>IF(ISERROR(VALUE(RIGHT(G9,1))),"",VALUE(RIGHT(G9,1)))</f>
        <v>1</v>
      </c>
      <c r="T9" s="207">
        <f>IF(ISERROR(VALUE(RIGHT(H9,1))),"",VALUE(RIGHT(H9,1)))</f>
        <v>5</v>
      </c>
      <c r="U9" s="207">
        <f>IF(ISERROR(VALUE(RIGHT(I9,1))),"",VALUE(RIGHT(I9,1)))</f>
        <v>5</v>
      </c>
      <c r="V9" s="207">
        <f>IF(ISERROR(VALUE(RIGHT(J9,1))),"",VALUE(RIGHT(J9,1)))</f>
        <v>5</v>
      </c>
      <c r="W9" s="207"/>
      <c r="X9" s="208">
        <f>IF(ISERROR(VALUE(RIGHT(L9,1))),"",VALUE(RIGHT(L9,1)))</f>
        <v>5</v>
      </c>
      <c r="Y9" s="209">
        <f t="shared" si="10"/>
        <v>10</v>
      </c>
      <c r="Z9" s="210">
        <f t="shared" si="2"/>
        <v>5</v>
      </c>
      <c r="AA9" s="211">
        <f t="shared" si="3"/>
        <v>4</v>
      </c>
      <c r="AB9" s="212">
        <f t="shared" si="4"/>
        <v>0.8</v>
      </c>
      <c r="AC9" s="213">
        <f t="shared" si="11"/>
        <v>21</v>
      </c>
      <c r="AD9" s="211">
        <f>IF(B9&gt;0,SUM(W5:W10),"")</f>
        <v>12</v>
      </c>
      <c r="AE9" s="199">
        <f t="shared" si="12"/>
        <v>9</v>
      </c>
      <c r="AF9" s="199">
        <f t="shared" si="13"/>
        <v>10</v>
      </c>
      <c r="AG9" s="242"/>
      <c r="AH9" s="245">
        <f t="shared" si="14"/>
        <v>80921173</v>
      </c>
      <c r="AJ9" s="192"/>
      <c r="AK9" s="192"/>
      <c r="AM9" s="214">
        <f>IF(Q5="V",IF(M9="D",0,1),IF(Q5="D",IF(M9="V",0,1),1))</f>
        <v>1</v>
      </c>
      <c r="AN9" s="215">
        <f>IF(Q6="V",IF(N9="D",0,1),IF(Q6="D",IF(N9="V",0,1),1))</f>
        <v>1</v>
      </c>
      <c r="AO9" s="215">
        <f>IF(Q7="V",IF(O9="D",0,1),IF(Q7="D",IF(O9="V",0,1),1))</f>
        <v>1</v>
      </c>
      <c r="AP9" s="215">
        <f>IF(Q8="V",IF(P9="D",0,1),IF(Q8="D",IF(P9="V",0,1),1))</f>
        <v>1</v>
      </c>
      <c r="AQ9" s="215"/>
      <c r="AR9" s="216">
        <f>IF(R9="V",IF(Q10="D",0,1),IF(R9="D",IF(Q10="V",0,1),1))</f>
        <v>1</v>
      </c>
    </row>
    <row r="10" spans="1:44" ht="12" customHeight="1">
      <c r="A10" s="217">
        <f>IF(B10="","",1)</f>
        <v>1</v>
      </c>
      <c r="B10" s="218">
        <v>47</v>
      </c>
      <c r="C10" s="219">
        <f>IF(F10="","",6)</f>
        <v>6</v>
      </c>
      <c r="D10" s="220">
        <f t="shared" si="0"/>
        <v>31</v>
      </c>
      <c r="E10" s="221" t="str">
        <f t="shared" si="5"/>
        <v>はしまモア</v>
      </c>
      <c r="F10" s="222" t="str">
        <f t="shared" si="1"/>
        <v>光田　陽翔</v>
      </c>
      <c r="G10" s="223">
        <v>0</v>
      </c>
      <c r="H10" s="224" t="s">
        <v>199</v>
      </c>
      <c r="I10" s="224" t="s">
        <v>199</v>
      </c>
      <c r="J10" s="224">
        <v>2</v>
      </c>
      <c r="K10" s="224">
        <v>2</v>
      </c>
      <c r="L10" s="225"/>
      <c r="M10" s="226" t="str">
        <f>LEFT(G10,1)</f>
        <v>0</v>
      </c>
      <c r="N10" s="227" t="str">
        <f>LEFT(H10,1)</f>
        <v>v</v>
      </c>
      <c r="O10" s="227" t="str">
        <f t="shared" si="6"/>
        <v>v</v>
      </c>
      <c r="P10" s="227" t="str">
        <f t="shared" si="7"/>
        <v>2</v>
      </c>
      <c r="Q10" s="227" t="str">
        <f t="shared" si="8"/>
        <v>2</v>
      </c>
      <c r="R10" s="228" t="str">
        <f t="shared" si="9"/>
        <v/>
      </c>
      <c r="S10" s="226">
        <f>IF(ISERROR(VALUE(RIGHT(G10,1))),"",VALUE(RIGHT(G10,1)))</f>
        <v>0</v>
      </c>
      <c r="T10" s="227">
        <f>IF(ISERROR(VALUE(RIGHT(H10,1))),"",VALUE(RIGHT(H10,1)))</f>
        <v>5</v>
      </c>
      <c r="U10" s="227">
        <f>IF(ISERROR(VALUE(RIGHT(I10,1))),"",VALUE(RIGHT(I10,1)))</f>
        <v>5</v>
      </c>
      <c r="V10" s="227">
        <f>IF(ISERROR(VALUE(RIGHT(J10,1))),"",VALUE(RIGHT(J10,1)))</f>
        <v>2</v>
      </c>
      <c r="W10" s="227">
        <f>IF(ISERROR(VALUE(RIGHT(K10,1))),"",VALUE(RIGHT(K10,1)))</f>
        <v>2</v>
      </c>
      <c r="X10" s="228"/>
      <c r="Y10" s="229">
        <f t="shared" si="10"/>
        <v>31</v>
      </c>
      <c r="Z10" s="230">
        <f t="shared" si="2"/>
        <v>5</v>
      </c>
      <c r="AA10" s="231">
        <f t="shared" si="3"/>
        <v>2</v>
      </c>
      <c r="AB10" s="232">
        <f t="shared" si="4"/>
        <v>0.4</v>
      </c>
      <c r="AC10" s="233">
        <f t="shared" si="11"/>
        <v>14</v>
      </c>
      <c r="AD10" s="231">
        <f>IF(B10&gt;0,SUM(X5:X10),"")</f>
        <v>16</v>
      </c>
      <c r="AE10" s="234">
        <f t="shared" si="12"/>
        <v>-2</v>
      </c>
      <c r="AF10" s="234">
        <f>IF(ISERROR(D10),"",D10)</f>
        <v>31</v>
      </c>
      <c r="AG10" s="243"/>
      <c r="AH10" s="246">
        <f t="shared" si="14"/>
        <v>39814093</v>
      </c>
      <c r="AJ10" s="192"/>
      <c r="AK10" s="192"/>
      <c r="AM10" s="235">
        <f>IF(R5="V",IF(M10="D",0,1),IF(R5="D",IF(M10="V",0,1),1))</f>
        <v>1</v>
      </c>
      <c r="AN10" s="236">
        <f>IF(R6="V",IF(N10="D",0,1),IF(R6="D",IF(N10="V",0,1),1))</f>
        <v>1</v>
      </c>
      <c r="AO10" s="236">
        <f>IF(R7="V",IF(O10="D",0,1),IF(R7="D",IF(O10="V",0,1),1))</f>
        <v>1</v>
      </c>
      <c r="AP10" s="236">
        <f>IF(R8="V",IF(P10="D",0,1),IF(R8="D",IF(P10="V",0,1),1))</f>
        <v>1</v>
      </c>
      <c r="AQ10" s="236">
        <f>IF(R9="V",IF(Q10="D",0,1),IF(R9="D",IF(Q10="V",0,1),1))</f>
        <v>1</v>
      </c>
      <c r="AR10" s="237"/>
    </row>
    <row r="11" spans="1:44" ht="12" customHeight="1">
      <c r="A11" s="175">
        <v>2</v>
      </c>
      <c r="B11" s="176">
        <v>2</v>
      </c>
      <c r="C11" s="177">
        <f>IF(F11="","",1)</f>
        <v>1</v>
      </c>
      <c r="D11" s="178">
        <f t="shared" si="0"/>
        <v>3</v>
      </c>
      <c r="E11" s="179" t="str">
        <f t="shared" si="5"/>
        <v>はしまモア</v>
      </c>
      <c r="F11" s="180" t="str">
        <f t="shared" si="1"/>
        <v>田内　稜大</v>
      </c>
      <c r="G11" s="181"/>
      <c r="H11" s="182" t="s">
        <v>203</v>
      </c>
      <c r="I11" s="182" t="s">
        <v>203</v>
      </c>
      <c r="J11" s="182" t="s">
        <v>199</v>
      </c>
      <c r="K11" s="182" t="s">
        <v>199</v>
      </c>
      <c r="L11" s="183" t="s">
        <v>203</v>
      </c>
      <c r="M11" s="184"/>
      <c r="N11" s="185" t="str">
        <f>LEFT(H11,1)</f>
        <v>v</v>
      </c>
      <c r="O11" s="185" t="str">
        <f t="shared" si="6"/>
        <v>v</v>
      </c>
      <c r="P11" s="185" t="str">
        <f t="shared" si="7"/>
        <v>v</v>
      </c>
      <c r="Q11" s="185" t="str">
        <f t="shared" si="8"/>
        <v>v</v>
      </c>
      <c r="R11" s="186" t="str">
        <f t="shared" si="9"/>
        <v>v</v>
      </c>
      <c r="S11" s="184"/>
      <c r="T11" s="185">
        <f>IF(ISERROR(VALUE(RIGHT(H11,1))),"",VALUE(RIGHT(H11,1)))</f>
        <v>5</v>
      </c>
      <c r="U11" s="185">
        <f>IF(ISERROR(VALUE(RIGHT(I11,1))),"",VALUE(RIGHT(I11,1)))</f>
        <v>5</v>
      </c>
      <c r="V11" s="185">
        <f>IF(ISERROR(VALUE(RIGHT(J11,1))),"",VALUE(RIGHT(J11,1)))</f>
        <v>5</v>
      </c>
      <c r="W11" s="185">
        <f>IF(ISERROR(VALUE(RIGHT(K11,1))),"",VALUE(RIGHT(K11,1)))</f>
        <v>5</v>
      </c>
      <c r="X11" s="186">
        <f>IF(ISERROR(VALUE(RIGHT(L11,1))),"",VALUE(RIGHT(L11,1)))</f>
        <v>5</v>
      </c>
      <c r="Y11" s="187">
        <f>D11</f>
        <v>3</v>
      </c>
      <c r="Z11" s="188">
        <f t="shared" si="2"/>
        <v>5</v>
      </c>
      <c r="AA11" s="189">
        <f t="shared" si="3"/>
        <v>5</v>
      </c>
      <c r="AB11" s="190">
        <f t="shared" si="4"/>
        <v>1</v>
      </c>
      <c r="AC11" s="191">
        <f t="shared" si="11"/>
        <v>25</v>
      </c>
      <c r="AD11" s="189">
        <f>IF(B11&gt;0,SUM(S11:S16),"")</f>
        <v>5</v>
      </c>
      <c r="AE11" s="178">
        <f t="shared" si="12"/>
        <v>20</v>
      </c>
      <c r="AF11" s="178">
        <f>IF(ISERROR(D11),"",D11)</f>
        <v>3</v>
      </c>
      <c r="AG11" s="241"/>
      <c r="AH11" s="244">
        <f t="shared" si="14"/>
        <v>102025248</v>
      </c>
      <c r="AM11" s="193"/>
      <c r="AN11" s="194">
        <f>IF(N11="V",IF(M12="D",0,1),IF(N11="D",IF(M12="V",0,1),1))</f>
        <v>1</v>
      </c>
      <c r="AO11" s="194">
        <f>IF(O11="V",IF(M13="D",0,1),IF(O11="D",IF(M13="V",0,1),1))</f>
        <v>1</v>
      </c>
      <c r="AP11" s="194">
        <f>IF(P11="V",IF(M14="D",0,1),IF(P11="D",IF(M14="V",0,1),1))</f>
        <v>1</v>
      </c>
      <c r="AQ11" s="194">
        <f>IF(Q11="V",IF(M15="D",0,1),IF(Q11="D",IF(M15="V",0,1),1))</f>
        <v>1</v>
      </c>
      <c r="AR11" s="195">
        <f>IF(R11="V",IF(M16="D",0,1),IF(R11="D",IF(M16="V",0,1),1))</f>
        <v>1</v>
      </c>
    </row>
    <row r="12" spans="1:44" ht="12" customHeight="1">
      <c r="A12" s="196">
        <f>IF(B12="","",2)</f>
        <v>2</v>
      </c>
      <c r="B12" s="197">
        <v>17</v>
      </c>
      <c r="C12" s="198">
        <f>IF(F12="","",2)</f>
        <v>2</v>
      </c>
      <c r="D12" s="199">
        <f t="shared" si="0"/>
        <v>48</v>
      </c>
      <c r="E12" s="200" t="str">
        <f t="shared" si="5"/>
        <v>速星中学校</v>
      </c>
      <c r="F12" s="201" t="str">
        <f t="shared" si="1"/>
        <v>廣野　惇奈</v>
      </c>
      <c r="G12" s="202">
        <v>1</v>
      </c>
      <c r="H12" s="203"/>
      <c r="I12" s="204">
        <v>1</v>
      </c>
      <c r="J12" s="204">
        <v>1</v>
      </c>
      <c r="K12" s="204">
        <v>0</v>
      </c>
      <c r="L12" s="205">
        <v>1</v>
      </c>
      <c r="M12" s="206" t="str">
        <f>LEFT(G12,1)</f>
        <v>1</v>
      </c>
      <c r="N12" s="207"/>
      <c r="O12" s="207" t="str">
        <f>LEFT(I12,1)</f>
        <v>1</v>
      </c>
      <c r="P12" s="207" t="str">
        <f>LEFT(J12,1)</f>
        <v>1</v>
      </c>
      <c r="Q12" s="207" t="str">
        <f>LEFT(K12,1)</f>
        <v>0</v>
      </c>
      <c r="R12" s="208" t="str">
        <f t="shared" ref="R12:R75" si="15">LEFT(L12,1)</f>
        <v>1</v>
      </c>
      <c r="S12" s="206">
        <f>IF(ISERROR(VALUE(RIGHT(G12,1))),"",VALUE(RIGHT(G12,1)))</f>
        <v>1</v>
      </c>
      <c r="T12" s="207"/>
      <c r="U12" s="207">
        <f>IF(ISERROR(VALUE(RIGHT(I12,1))),"",VALUE(RIGHT(I12,1)))</f>
        <v>1</v>
      </c>
      <c r="V12" s="207">
        <f>IF(ISERROR(VALUE(RIGHT(J12,1))),"",VALUE(RIGHT(J12,1)))</f>
        <v>1</v>
      </c>
      <c r="W12" s="207">
        <f>IF(ISERROR(VALUE(RIGHT(K12,1))),"",VALUE(RIGHT(K12,1)))</f>
        <v>0</v>
      </c>
      <c r="X12" s="208">
        <f>IF(ISERROR(VALUE(RIGHT(L12,1))),"",VALUE(RIGHT(L12,1)))</f>
        <v>1</v>
      </c>
      <c r="Y12" s="209">
        <f t="shared" si="10"/>
        <v>48</v>
      </c>
      <c r="Z12" s="210">
        <f t="shared" si="2"/>
        <v>5</v>
      </c>
      <c r="AA12" s="211">
        <f t="shared" si="3"/>
        <v>0</v>
      </c>
      <c r="AB12" s="212">
        <f t="shared" si="4"/>
        <v>0</v>
      </c>
      <c r="AC12" s="213">
        <f t="shared" si="11"/>
        <v>4</v>
      </c>
      <c r="AD12" s="211">
        <f>IF(B12&gt;0,SUM(T11:T16),"")</f>
        <v>25</v>
      </c>
      <c r="AE12" s="199">
        <f t="shared" si="12"/>
        <v>-21</v>
      </c>
      <c r="AF12" s="199">
        <f t="shared" si="13"/>
        <v>48</v>
      </c>
      <c r="AG12" s="242"/>
      <c r="AH12" s="245">
        <f t="shared" si="14"/>
        <v>-2095977</v>
      </c>
      <c r="AM12" s="214">
        <f>IF(N11="V",IF(M12="D",0,1),IF(N11="D",IF(M12="V",0,1),1))</f>
        <v>1</v>
      </c>
      <c r="AN12" s="215"/>
      <c r="AO12" s="215">
        <f>IF(O12="V",IF(N13="D",0,1),IF(O12="D",IF(N13="V",0,1),1))</f>
        <v>1</v>
      </c>
      <c r="AP12" s="215">
        <f>IF(P12="V",IF(N14="D",0,1),IF(P12="D",IF(N14="V",0,1),1))</f>
        <v>1</v>
      </c>
      <c r="AQ12" s="215">
        <f>IF(Q12="V",IF(N15="D",0,1),IF(Q12="D",IF(N15="V",0,1),1))</f>
        <v>1</v>
      </c>
      <c r="AR12" s="216">
        <f>IF(R12="V",IF(N16="D",0,1),IF(R12="D",IF(N16="V",0,1),1))</f>
        <v>1</v>
      </c>
    </row>
    <row r="13" spans="1:44" ht="12" customHeight="1">
      <c r="A13" s="196">
        <f>IF(B13="","",2)</f>
        <v>2</v>
      </c>
      <c r="B13" s="197">
        <v>31</v>
      </c>
      <c r="C13" s="198">
        <f>IF(F13="","",3)</f>
        <v>3</v>
      </c>
      <c r="D13" s="199">
        <f t="shared" si="0"/>
        <v>38</v>
      </c>
      <c r="E13" s="200" t="str">
        <f t="shared" si="5"/>
        <v>愛工大付属</v>
      </c>
      <c r="F13" s="201" t="str">
        <f t="shared" si="1"/>
        <v>山口　倫生</v>
      </c>
      <c r="G13" s="202">
        <v>1</v>
      </c>
      <c r="H13" s="204" t="s">
        <v>201</v>
      </c>
      <c r="I13" s="203"/>
      <c r="J13" s="204">
        <v>4</v>
      </c>
      <c r="K13" s="204">
        <v>2</v>
      </c>
      <c r="L13" s="205">
        <v>0</v>
      </c>
      <c r="M13" s="206" t="str">
        <f>LEFT(G13,1)</f>
        <v>1</v>
      </c>
      <c r="N13" s="207" t="str">
        <f>LEFT(H13,1)</f>
        <v>v</v>
      </c>
      <c r="O13" s="207"/>
      <c r="P13" s="207" t="str">
        <f>LEFT(J13,1)</f>
        <v>4</v>
      </c>
      <c r="Q13" s="207" t="str">
        <f>LEFT(K13,1)</f>
        <v>2</v>
      </c>
      <c r="R13" s="208" t="str">
        <f t="shared" si="15"/>
        <v>0</v>
      </c>
      <c r="S13" s="206">
        <f>IF(ISERROR(VALUE(RIGHT(G13,1))),"",VALUE(RIGHT(G13,1)))</f>
        <v>1</v>
      </c>
      <c r="T13" s="207">
        <f>IF(ISERROR(VALUE(RIGHT(H13,1))),"",VALUE(RIGHT(H13,1)))</f>
        <v>5</v>
      </c>
      <c r="U13" s="207"/>
      <c r="V13" s="207">
        <f>IF(ISERROR(VALUE(RIGHT(J13,1))),"",VALUE(RIGHT(J13,1)))</f>
        <v>4</v>
      </c>
      <c r="W13" s="207">
        <f>IF(ISERROR(VALUE(RIGHT(K13,1))),"",VALUE(RIGHT(K13,1)))</f>
        <v>2</v>
      </c>
      <c r="X13" s="208">
        <f>IF(ISERROR(VALUE(RIGHT(L13,1))),"",VALUE(RIGHT(L13,1)))</f>
        <v>0</v>
      </c>
      <c r="Y13" s="209">
        <f t="shared" si="10"/>
        <v>38</v>
      </c>
      <c r="Z13" s="210">
        <f t="shared" si="2"/>
        <v>5</v>
      </c>
      <c r="AA13" s="211">
        <f t="shared" si="3"/>
        <v>1</v>
      </c>
      <c r="AB13" s="212">
        <f t="shared" si="4"/>
        <v>0.2</v>
      </c>
      <c r="AC13" s="213">
        <f t="shared" si="11"/>
        <v>12</v>
      </c>
      <c r="AD13" s="211">
        <f>IF(B13&gt;0,SUM(U11:U16),"")</f>
        <v>21</v>
      </c>
      <c r="AE13" s="199">
        <f t="shared" si="12"/>
        <v>-9</v>
      </c>
      <c r="AF13" s="199">
        <f t="shared" si="13"/>
        <v>38</v>
      </c>
      <c r="AG13" s="242"/>
      <c r="AH13" s="245">
        <f t="shared" si="14"/>
        <v>19112089</v>
      </c>
      <c r="AM13" s="214">
        <f>IF(O11="V",IF(M13="D",0,1),IF(O11="D",IF(M13="V",0,1),1))</f>
        <v>1</v>
      </c>
      <c r="AN13" s="215">
        <f>IF(O12="V",IF(N13="D",0,1),IF(O12="D",IF(N13="V",0,1),1))</f>
        <v>1</v>
      </c>
      <c r="AO13" s="215"/>
      <c r="AP13" s="215">
        <f>IF(P13="V",IF(O14="D",0,1),IF(P13="D",IF(O14="V",0,1),1))</f>
        <v>1</v>
      </c>
      <c r="AQ13" s="215">
        <f>IF(Q13="V",IF(O15="D",0,1),IF(Q13="D",IF(O15="V",0,1),1))</f>
        <v>1</v>
      </c>
      <c r="AR13" s="216">
        <f>IF(R13="V",IF(O16="D",0,1),IF(R13="D",IF(O16="V",0,1),1))</f>
        <v>1</v>
      </c>
    </row>
    <row r="14" spans="1:44" ht="12" customHeight="1">
      <c r="A14" s="196">
        <f>IF(B14="","",2)</f>
        <v>2</v>
      </c>
      <c r="B14" s="197">
        <v>35</v>
      </c>
      <c r="C14" s="198">
        <f>IF(F14="","",4)</f>
        <v>4</v>
      </c>
      <c r="D14" s="199">
        <f t="shared" si="0"/>
        <v>12</v>
      </c>
      <c r="E14" s="200" t="str">
        <f t="shared" si="5"/>
        <v>南箕輪わくわく</v>
      </c>
      <c r="F14" s="201" t="str">
        <f t="shared" si="1"/>
        <v>保科　幸作</v>
      </c>
      <c r="G14" s="202">
        <v>0</v>
      </c>
      <c r="H14" s="204" t="s">
        <v>204</v>
      </c>
      <c r="I14" s="204" t="s">
        <v>199</v>
      </c>
      <c r="J14" s="203"/>
      <c r="K14" s="204" t="s">
        <v>201</v>
      </c>
      <c r="L14" s="205" t="s">
        <v>199</v>
      </c>
      <c r="M14" s="206" t="str">
        <f>LEFT(G14,1)</f>
        <v>0</v>
      </c>
      <c r="N14" s="207" t="str">
        <f>LEFT(H14,1)</f>
        <v>v</v>
      </c>
      <c r="O14" s="207" t="str">
        <f>LEFT(I14,1)</f>
        <v>v</v>
      </c>
      <c r="P14" s="207"/>
      <c r="Q14" s="207" t="str">
        <f>LEFT(K14,1)</f>
        <v>v</v>
      </c>
      <c r="R14" s="208" t="str">
        <f t="shared" si="15"/>
        <v>v</v>
      </c>
      <c r="S14" s="206">
        <f>IF(ISERROR(VALUE(RIGHT(G14,1))),"",VALUE(RIGHT(G14,1)))</f>
        <v>0</v>
      </c>
      <c r="T14" s="207">
        <f>IF(ISERROR(VALUE(RIGHT(H14,1))),"",VALUE(RIGHT(H14,1)))</f>
        <v>5</v>
      </c>
      <c r="U14" s="207">
        <f>IF(ISERROR(VALUE(RIGHT(I14,1))),"",VALUE(RIGHT(I14,1)))</f>
        <v>5</v>
      </c>
      <c r="V14" s="207"/>
      <c r="W14" s="207">
        <f>IF(ISERROR(VALUE(RIGHT(K14,1))),"",VALUE(RIGHT(K14,1)))</f>
        <v>5</v>
      </c>
      <c r="X14" s="208">
        <f>IF(ISERROR(VALUE(RIGHT(L14,1))),"",VALUE(RIGHT(L14,1)))</f>
        <v>5</v>
      </c>
      <c r="Y14" s="209">
        <f t="shared" si="10"/>
        <v>12</v>
      </c>
      <c r="Z14" s="210">
        <f t="shared" si="2"/>
        <v>5</v>
      </c>
      <c r="AA14" s="211">
        <f t="shared" si="3"/>
        <v>4</v>
      </c>
      <c r="AB14" s="212">
        <f t="shared" si="4"/>
        <v>0.8</v>
      </c>
      <c r="AC14" s="213">
        <f t="shared" si="11"/>
        <v>20</v>
      </c>
      <c r="AD14" s="211">
        <f>IF(B14&gt;0,SUM(V11:V16),"")</f>
        <v>17</v>
      </c>
      <c r="AE14" s="199">
        <f t="shared" si="12"/>
        <v>3</v>
      </c>
      <c r="AF14" s="199">
        <f t="shared" si="13"/>
        <v>12</v>
      </c>
      <c r="AG14" s="242"/>
      <c r="AH14" s="245">
        <f t="shared" si="14"/>
        <v>80320165</v>
      </c>
      <c r="AM14" s="214">
        <f>IF(P11="V",IF(M14="D",0,1),IF(P11="D",IF(M14="V",0,1),1))</f>
        <v>1</v>
      </c>
      <c r="AN14" s="215">
        <f>IF(P12="V",IF(N14="D",0,1),IF(P12="D",IF(N14="V",0,1),1))</f>
        <v>1</v>
      </c>
      <c r="AO14" s="215">
        <f>IF(P13="V",IF(O14="D",0,1),IF(P13="D",IF(O14="V",0,1),1))</f>
        <v>1</v>
      </c>
      <c r="AP14" s="215"/>
      <c r="AQ14" s="215">
        <f>IF(Q14="V",IF(P15="D",0,1),IF(Q14="D",IF(P15="V",0,1),1))</f>
        <v>1</v>
      </c>
      <c r="AR14" s="216">
        <f>IF(R14="V",IF(P16="D",0,1),IF(R14="D",IF(P16="V",0,1),1))</f>
        <v>1</v>
      </c>
    </row>
    <row r="15" spans="1:44" ht="12" customHeight="1">
      <c r="A15" s="196">
        <f>IF(B15="","",2)</f>
        <v>2</v>
      </c>
      <c r="B15" s="197">
        <v>38</v>
      </c>
      <c r="C15" s="198">
        <f>IF(F15="","",5)</f>
        <v>5</v>
      </c>
      <c r="D15" s="199">
        <f t="shared" si="0"/>
        <v>28</v>
      </c>
      <c r="E15" s="200" t="str">
        <f t="shared" si="5"/>
        <v>富山パレス</v>
      </c>
      <c r="F15" s="201" t="str">
        <f t="shared" si="1"/>
        <v>藤野　正真</v>
      </c>
      <c r="G15" s="202">
        <v>2</v>
      </c>
      <c r="H15" s="204" t="s">
        <v>199</v>
      </c>
      <c r="I15" s="204" t="s">
        <v>199</v>
      </c>
      <c r="J15" s="204">
        <v>4</v>
      </c>
      <c r="K15" s="203"/>
      <c r="L15" s="205">
        <v>2</v>
      </c>
      <c r="M15" s="206" t="str">
        <f>LEFT(G15,1)</f>
        <v>2</v>
      </c>
      <c r="N15" s="207" t="str">
        <f>LEFT(H15,1)</f>
        <v>v</v>
      </c>
      <c r="O15" s="207" t="str">
        <f>LEFT(I15,1)</f>
        <v>v</v>
      </c>
      <c r="P15" s="207" t="str">
        <f>LEFT(J15,1)</f>
        <v>4</v>
      </c>
      <c r="Q15" s="207"/>
      <c r="R15" s="208" t="str">
        <f t="shared" si="15"/>
        <v>2</v>
      </c>
      <c r="S15" s="206">
        <f>IF(ISERROR(VALUE(RIGHT(G15,1))),"",VALUE(RIGHT(G15,1)))</f>
        <v>2</v>
      </c>
      <c r="T15" s="207">
        <f>IF(ISERROR(VALUE(RIGHT(H15,1))),"",VALUE(RIGHT(H15,1)))</f>
        <v>5</v>
      </c>
      <c r="U15" s="207">
        <f>IF(ISERROR(VALUE(RIGHT(I15,1))),"",VALUE(RIGHT(I15,1)))</f>
        <v>5</v>
      </c>
      <c r="V15" s="207">
        <f>IF(ISERROR(VALUE(RIGHT(J15,1))),"",VALUE(RIGHT(J15,1)))</f>
        <v>4</v>
      </c>
      <c r="W15" s="207"/>
      <c r="X15" s="208">
        <f>IF(ISERROR(VALUE(RIGHT(L15,1))),"",VALUE(RIGHT(L15,1)))</f>
        <v>2</v>
      </c>
      <c r="Y15" s="209">
        <f t="shared" si="10"/>
        <v>28</v>
      </c>
      <c r="Z15" s="210">
        <f t="shared" si="2"/>
        <v>5</v>
      </c>
      <c r="AA15" s="211">
        <f t="shared" si="3"/>
        <v>2</v>
      </c>
      <c r="AB15" s="212">
        <f t="shared" si="4"/>
        <v>0.4</v>
      </c>
      <c r="AC15" s="213">
        <f t="shared" si="11"/>
        <v>18</v>
      </c>
      <c r="AD15" s="211">
        <f>IF(B15&gt;0,SUM(W11:W16),"")</f>
        <v>17</v>
      </c>
      <c r="AE15" s="199">
        <f t="shared" si="12"/>
        <v>1</v>
      </c>
      <c r="AF15" s="199">
        <f t="shared" si="13"/>
        <v>28</v>
      </c>
      <c r="AG15" s="242"/>
      <c r="AH15" s="245">
        <f t="shared" si="14"/>
        <v>40118142</v>
      </c>
      <c r="AM15" s="214">
        <f>IF(Q11="V",IF(M15="D",0,1),IF(Q11="D",IF(M15="V",0,1),1))</f>
        <v>1</v>
      </c>
      <c r="AN15" s="215">
        <f>IF(Q12="V",IF(N15="D",0,1),IF(Q12="D",IF(N15="V",0,1),1))</f>
        <v>1</v>
      </c>
      <c r="AO15" s="215">
        <f>IF(Q13="V",IF(O15="D",0,1),IF(Q13="D",IF(O15="V",0,1),1))</f>
        <v>1</v>
      </c>
      <c r="AP15" s="215">
        <f>IF(Q14="V",IF(P15="D",0,1),IF(Q14="D",IF(P15="V",0,1),1))</f>
        <v>1</v>
      </c>
      <c r="AQ15" s="215"/>
      <c r="AR15" s="216">
        <f>IF(R15="V",IF(Q16="D",0,1),IF(R15="D",IF(Q16="V",0,1),1))</f>
        <v>1</v>
      </c>
    </row>
    <row r="16" spans="1:44" ht="12" customHeight="1">
      <c r="A16" s="217">
        <f>IF(B16="","",2)</f>
        <v>2</v>
      </c>
      <c r="B16" s="218">
        <v>42</v>
      </c>
      <c r="C16" s="219">
        <f>IF(F16="","",6)</f>
        <v>6</v>
      </c>
      <c r="D16" s="220">
        <f t="shared" si="0"/>
        <v>19</v>
      </c>
      <c r="E16" s="221" t="str">
        <f t="shared" si="5"/>
        <v>横浜フェンサーズ</v>
      </c>
      <c r="F16" s="222" t="str">
        <f t="shared" si="1"/>
        <v>柳原　健二郎</v>
      </c>
      <c r="G16" s="223">
        <v>1</v>
      </c>
      <c r="H16" s="224" t="s">
        <v>203</v>
      </c>
      <c r="I16" s="224" t="s">
        <v>199</v>
      </c>
      <c r="J16" s="224">
        <v>3</v>
      </c>
      <c r="K16" s="224" t="s">
        <v>199</v>
      </c>
      <c r="L16" s="225"/>
      <c r="M16" s="226" t="str">
        <f>LEFT(G16,1)</f>
        <v>1</v>
      </c>
      <c r="N16" s="227" t="str">
        <f>LEFT(H16,1)</f>
        <v>v</v>
      </c>
      <c r="O16" s="227" t="str">
        <f>LEFT(I16,1)</f>
        <v>v</v>
      </c>
      <c r="P16" s="227" t="str">
        <f>LEFT(J16,1)</f>
        <v>3</v>
      </c>
      <c r="Q16" s="227" t="str">
        <f>LEFT(K16,1)</f>
        <v>v</v>
      </c>
      <c r="R16" s="228" t="str">
        <f t="shared" si="15"/>
        <v/>
      </c>
      <c r="S16" s="226">
        <f>IF(ISERROR(VALUE(RIGHT(G16,1))),"",VALUE(RIGHT(G16,1)))</f>
        <v>1</v>
      </c>
      <c r="T16" s="227">
        <f>IF(ISERROR(VALUE(RIGHT(H16,1))),"",VALUE(RIGHT(H16,1)))</f>
        <v>5</v>
      </c>
      <c r="U16" s="227">
        <f>IF(ISERROR(VALUE(RIGHT(I16,1))),"",VALUE(RIGHT(I16,1)))</f>
        <v>5</v>
      </c>
      <c r="V16" s="227">
        <f>IF(ISERROR(VALUE(RIGHT(J16,1))),"",VALUE(RIGHT(J16,1)))</f>
        <v>3</v>
      </c>
      <c r="W16" s="227">
        <f>IF(ISERROR(VALUE(RIGHT(K16,1))),"",VALUE(RIGHT(K16,1)))</f>
        <v>5</v>
      </c>
      <c r="X16" s="228"/>
      <c r="Y16" s="229">
        <f t="shared" si="10"/>
        <v>19</v>
      </c>
      <c r="Z16" s="230">
        <f t="shared" si="2"/>
        <v>5</v>
      </c>
      <c r="AA16" s="231">
        <f t="shared" si="3"/>
        <v>3</v>
      </c>
      <c r="AB16" s="232">
        <f t="shared" si="4"/>
        <v>0.6</v>
      </c>
      <c r="AC16" s="233">
        <f t="shared" si="11"/>
        <v>19</v>
      </c>
      <c r="AD16" s="231">
        <f>IF(B16&gt;0,SUM(X11:X16),"")</f>
        <v>13</v>
      </c>
      <c r="AE16" s="234">
        <f t="shared" si="12"/>
        <v>6</v>
      </c>
      <c r="AF16" s="234">
        <f>IF(ISERROR(D16),"",D16)</f>
        <v>19</v>
      </c>
      <c r="AG16" s="243"/>
      <c r="AH16" s="246">
        <f t="shared" si="14"/>
        <v>60619148</v>
      </c>
      <c r="AM16" s="235">
        <f>IF(R11="V",IF(M16="D",0,1),IF(R11="D",IF(M16="V",0,1),1))</f>
        <v>1</v>
      </c>
      <c r="AN16" s="236">
        <f>IF(R12="V",IF(N16="D",0,1),IF(R12="D",IF(N16="V",0,1),1))</f>
        <v>1</v>
      </c>
      <c r="AO16" s="236">
        <f>IF(R13="V",IF(O16="D",0,1),IF(R13="D",IF(O16="V",0,1),1))</f>
        <v>1</v>
      </c>
      <c r="AP16" s="236">
        <f>IF(R14="V",IF(P16="D",0,1),IF(R14="D",IF(P16="V",0,1),1))</f>
        <v>1</v>
      </c>
      <c r="AQ16" s="236">
        <f>IF(R15="V",IF(Q16="D",0,1),IF(R15="D",IF(Q16="V",0,1),1))</f>
        <v>1</v>
      </c>
      <c r="AR16" s="237"/>
    </row>
    <row r="17" spans="1:44" ht="12" customHeight="1">
      <c r="A17" s="175">
        <v>3</v>
      </c>
      <c r="B17" s="176">
        <v>3</v>
      </c>
      <c r="C17" s="177">
        <f>IF(F17="","",1)</f>
        <v>1</v>
      </c>
      <c r="D17" s="178">
        <f t="shared" si="0"/>
        <v>6</v>
      </c>
      <c r="E17" s="179" t="str">
        <f t="shared" si="5"/>
        <v>はしまモア</v>
      </c>
      <c r="F17" s="180" t="str">
        <f t="shared" si="1"/>
        <v>河村　一摩</v>
      </c>
      <c r="G17" s="181"/>
      <c r="H17" s="182" t="s">
        <v>199</v>
      </c>
      <c r="I17" s="182" t="s">
        <v>199</v>
      </c>
      <c r="J17" s="182" t="s">
        <v>199</v>
      </c>
      <c r="K17" s="182" t="s">
        <v>199</v>
      </c>
      <c r="L17" s="183"/>
      <c r="M17" s="184"/>
      <c r="N17" s="185" t="str">
        <f>LEFT(H17,1)</f>
        <v>v</v>
      </c>
      <c r="O17" s="185" t="str">
        <f>LEFT(I17,1)</f>
        <v>v</v>
      </c>
      <c r="P17" s="185" t="str">
        <f>LEFT(J17,1)</f>
        <v>v</v>
      </c>
      <c r="Q17" s="185" t="str">
        <f>LEFT(K17,1)</f>
        <v>v</v>
      </c>
      <c r="R17" s="186" t="str">
        <f t="shared" si="15"/>
        <v/>
      </c>
      <c r="S17" s="184"/>
      <c r="T17" s="185">
        <f>IF(ISERROR(VALUE(RIGHT(H17,1))),"",VALUE(RIGHT(H17,1)))</f>
        <v>5</v>
      </c>
      <c r="U17" s="185">
        <f>IF(ISERROR(VALUE(RIGHT(I17,1))),"",VALUE(RIGHT(I17,1)))</f>
        <v>5</v>
      </c>
      <c r="V17" s="185">
        <f>IF(ISERROR(VALUE(RIGHT(J17,1))),"",VALUE(RIGHT(J17,1)))</f>
        <v>5</v>
      </c>
      <c r="W17" s="185">
        <f>IF(ISERROR(VALUE(RIGHT(K17,1))),"",VALUE(RIGHT(K17,1)))</f>
        <v>5</v>
      </c>
      <c r="X17" s="186" t="str">
        <f>IF(ISERROR(VALUE(RIGHT(L17,1))),"",VALUE(RIGHT(L17,1)))</f>
        <v/>
      </c>
      <c r="Y17" s="187">
        <f t="shared" si="10"/>
        <v>6</v>
      </c>
      <c r="Z17" s="188">
        <f t="shared" si="2"/>
        <v>4</v>
      </c>
      <c r="AA17" s="189">
        <f t="shared" si="3"/>
        <v>4</v>
      </c>
      <c r="AB17" s="190">
        <f t="shared" si="4"/>
        <v>1</v>
      </c>
      <c r="AC17" s="191">
        <f t="shared" si="11"/>
        <v>20</v>
      </c>
      <c r="AD17" s="189">
        <f>IF(B17&gt;0,SUM(S17:S22),"")</f>
        <v>6</v>
      </c>
      <c r="AE17" s="178">
        <f t="shared" si="12"/>
        <v>14</v>
      </c>
      <c r="AF17" s="178">
        <f>IF(ISERROR(D17),"",D17)</f>
        <v>6</v>
      </c>
      <c r="AG17" s="241"/>
      <c r="AH17" s="244">
        <f t="shared" si="14"/>
        <v>101420197</v>
      </c>
      <c r="AM17" s="193"/>
      <c r="AN17" s="194">
        <f>IF(N17="V",IF(M18="D",0,1),IF(N17="D",IF(M18="V",0,1),1))</f>
        <v>1</v>
      </c>
      <c r="AO17" s="194">
        <f>IF(O17="V",IF(M19="D",0,1),IF(O17="D",IF(M19="V",0,1),1))</f>
        <v>1</v>
      </c>
      <c r="AP17" s="194">
        <f>IF(P17="V",IF(M20="D",0,1),IF(P17="D",IF(M20="V",0,1),1))</f>
        <v>1</v>
      </c>
      <c r="AQ17" s="194">
        <f>IF(Q17="V",IF(M21="D",0,1),IF(Q17="D",IF(M21="V",0,1),1))</f>
        <v>1</v>
      </c>
      <c r="AR17" s="195">
        <f>IF(R17="V",IF(M22="D",0,1),IF(R17="D",IF(M22="V",0,1),1))</f>
        <v>1</v>
      </c>
    </row>
    <row r="18" spans="1:44" ht="12" customHeight="1">
      <c r="A18" s="196">
        <f>IF(B18="","",3)</f>
        <v>3</v>
      </c>
      <c r="B18" s="197">
        <v>21</v>
      </c>
      <c r="C18" s="198">
        <f>IF(F18="","",2)</f>
        <v>2</v>
      </c>
      <c r="D18" s="199">
        <f t="shared" si="0"/>
        <v>45</v>
      </c>
      <c r="E18" s="200" t="str">
        <f t="shared" si="5"/>
        <v>速星中学校</v>
      </c>
      <c r="F18" s="201" t="str">
        <f t="shared" si="1"/>
        <v>細川　唯人</v>
      </c>
      <c r="G18" s="202">
        <v>0</v>
      </c>
      <c r="H18" s="203"/>
      <c r="I18" s="204">
        <v>1</v>
      </c>
      <c r="J18" s="204">
        <v>1</v>
      </c>
      <c r="K18" s="204">
        <v>2</v>
      </c>
      <c r="L18" s="205"/>
      <c r="M18" s="206" t="str">
        <f>LEFT(G18,1)</f>
        <v>0</v>
      </c>
      <c r="N18" s="207"/>
      <c r="O18" s="207" t="str">
        <f>LEFT(I18,1)</f>
        <v>1</v>
      </c>
      <c r="P18" s="207" t="str">
        <f>LEFT(J18,1)</f>
        <v>1</v>
      </c>
      <c r="Q18" s="207" t="str">
        <f>LEFT(K18,1)</f>
        <v>2</v>
      </c>
      <c r="R18" s="208" t="str">
        <f t="shared" si="15"/>
        <v/>
      </c>
      <c r="S18" s="206">
        <f>IF(ISERROR(VALUE(RIGHT(G18,1))),"",VALUE(RIGHT(G18,1)))</f>
        <v>0</v>
      </c>
      <c r="T18" s="207"/>
      <c r="U18" s="207">
        <f>IF(ISERROR(VALUE(RIGHT(I18,1))),"",VALUE(RIGHT(I18,1)))</f>
        <v>1</v>
      </c>
      <c r="V18" s="207">
        <f>IF(ISERROR(VALUE(RIGHT(J18,1))),"",VALUE(RIGHT(J18,1)))</f>
        <v>1</v>
      </c>
      <c r="W18" s="207">
        <f>IF(ISERROR(VALUE(RIGHT(K18,1))),"",VALUE(RIGHT(K18,1)))</f>
        <v>2</v>
      </c>
      <c r="X18" s="208" t="str">
        <f>IF(ISERROR(VALUE(RIGHT(L18,1))),"",VALUE(RIGHT(L18,1)))</f>
        <v/>
      </c>
      <c r="Y18" s="209">
        <f t="shared" si="10"/>
        <v>45</v>
      </c>
      <c r="Z18" s="210">
        <f t="shared" si="2"/>
        <v>4</v>
      </c>
      <c r="AA18" s="211">
        <f t="shared" si="3"/>
        <v>0</v>
      </c>
      <c r="AB18" s="212">
        <f t="shared" si="4"/>
        <v>0</v>
      </c>
      <c r="AC18" s="213">
        <f t="shared" si="11"/>
        <v>4</v>
      </c>
      <c r="AD18" s="211">
        <f>IF(B18&gt;0,SUM(T17:T22),"")</f>
        <v>20</v>
      </c>
      <c r="AE18" s="199">
        <f t="shared" si="12"/>
        <v>-16</v>
      </c>
      <c r="AF18" s="199">
        <f t="shared" ref="AF18:AF21" si="16">IF(ISERROR(D18),"",D18)</f>
        <v>45</v>
      </c>
      <c r="AG18" s="242"/>
      <c r="AH18" s="245">
        <f t="shared" si="14"/>
        <v>-1595981</v>
      </c>
      <c r="AM18" s="214">
        <f>IF(N17="V",IF(M18="D",0,1),IF(N17="D",IF(M18="V",0,1),1))</f>
        <v>1</v>
      </c>
      <c r="AN18" s="215"/>
      <c r="AO18" s="215">
        <f>IF(O18="V",IF(N19="D",0,1),IF(O18="D",IF(N19="V",0,1),1))</f>
        <v>1</v>
      </c>
      <c r="AP18" s="215">
        <f>IF(P18="V",IF(N20="D",0,1),IF(P18="D",IF(N20="V",0,1),1))</f>
        <v>1</v>
      </c>
      <c r="AQ18" s="215">
        <f>IF(Q18="V",IF(N21="D",0,1),IF(Q18="D",IF(N21="V",0,1),1))</f>
        <v>1</v>
      </c>
      <c r="AR18" s="216">
        <f>IF(R18="V",IF(N22="D",0,1),IF(R18="D",IF(N22="V",0,1),1))</f>
        <v>1</v>
      </c>
    </row>
    <row r="19" spans="1:44" ht="12" customHeight="1">
      <c r="A19" s="196">
        <f>IF(B19="","",3)</f>
        <v>3</v>
      </c>
      <c r="B19" s="197">
        <v>30</v>
      </c>
      <c r="C19" s="198">
        <f>IF(F19="","",3)</f>
        <v>3</v>
      </c>
      <c r="D19" s="199">
        <f t="shared" si="0"/>
        <v>16</v>
      </c>
      <c r="E19" s="200" t="str">
        <f t="shared" si="5"/>
        <v>愛工大付属</v>
      </c>
      <c r="F19" s="201" t="str">
        <f t="shared" si="1"/>
        <v>伊藤　真吾</v>
      </c>
      <c r="G19" s="202">
        <v>3</v>
      </c>
      <c r="H19" s="204" t="s">
        <v>199</v>
      </c>
      <c r="I19" s="203"/>
      <c r="J19" s="204" t="s">
        <v>200</v>
      </c>
      <c r="K19" s="204" t="s">
        <v>201</v>
      </c>
      <c r="L19" s="205"/>
      <c r="M19" s="206" t="str">
        <f>LEFT(G19,1)</f>
        <v>3</v>
      </c>
      <c r="N19" s="207" t="str">
        <f>LEFT(H19,1)</f>
        <v>v</v>
      </c>
      <c r="O19" s="207"/>
      <c r="P19" s="207" t="str">
        <f>LEFT(J19,1)</f>
        <v>v</v>
      </c>
      <c r="Q19" s="207" t="str">
        <f>LEFT(K19,1)</f>
        <v>v</v>
      </c>
      <c r="R19" s="208" t="str">
        <f t="shared" si="15"/>
        <v/>
      </c>
      <c r="S19" s="206">
        <f>IF(ISERROR(VALUE(RIGHT(G19,1))),"",VALUE(RIGHT(G19,1)))</f>
        <v>3</v>
      </c>
      <c r="T19" s="207">
        <f>IF(ISERROR(VALUE(RIGHT(H19,1))),"",VALUE(RIGHT(H19,1)))</f>
        <v>5</v>
      </c>
      <c r="U19" s="207"/>
      <c r="V19" s="207">
        <f>IF(ISERROR(VALUE(RIGHT(J19,1))),"",VALUE(RIGHT(J19,1)))</f>
        <v>5</v>
      </c>
      <c r="W19" s="207">
        <f>IF(ISERROR(VALUE(RIGHT(K19,1))),"",VALUE(RIGHT(K19,1)))</f>
        <v>5</v>
      </c>
      <c r="X19" s="208" t="str">
        <f>IF(ISERROR(VALUE(RIGHT(L19,1))),"",VALUE(RIGHT(L19,1)))</f>
        <v/>
      </c>
      <c r="Y19" s="209">
        <f t="shared" si="10"/>
        <v>16</v>
      </c>
      <c r="Z19" s="210">
        <f t="shared" si="2"/>
        <v>4</v>
      </c>
      <c r="AA19" s="211">
        <f t="shared" si="3"/>
        <v>3</v>
      </c>
      <c r="AB19" s="212">
        <f t="shared" si="4"/>
        <v>0.75</v>
      </c>
      <c r="AC19" s="213">
        <f t="shared" si="11"/>
        <v>18</v>
      </c>
      <c r="AD19" s="211">
        <f>IF(B19&gt;0,SUM(U17:U22),"")</f>
        <v>11</v>
      </c>
      <c r="AE19" s="199">
        <f t="shared" si="12"/>
        <v>7</v>
      </c>
      <c r="AF19" s="199">
        <f t="shared" si="16"/>
        <v>16</v>
      </c>
      <c r="AG19" s="242"/>
      <c r="AH19" s="245">
        <f t="shared" si="14"/>
        <v>75718150</v>
      </c>
      <c r="AM19" s="214">
        <f>IF(O17="V",IF(M19="D",0,1),IF(O17="D",IF(M19="V",0,1),1))</f>
        <v>1</v>
      </c>
      <c r="AN19" s="215">
        <f>IF(O18="V",IF(N19="D",0,1),IF(O18="D",IF(N19="V",0,1),1))</f>
        <v>1</v>
      </c>
      <c r="AO19" s="215"/>
      <c r="AP19" s="215">
        <f>IF(P19="V",IF(O20="D",0,1),IF(P19="D",IF(O20="V",0,1),1))</f>
        <v>1</v>
      </c>
      <c r="AQ19" s="215">
        <f>IF(Q19="V",IF(O21="D",0,1),IF(Q19="D",IF(O21="V",0,1),1))</f>
        <v>1</v>
      </c>
      <c r="AR19" s="216">
        <f>IF(R19="V",IF(O22="D",0,1),IF(R19="D",IF(O22="V",0,1),1))</f>
        <v>1</v>
      </c>
    </row>
    <row r="20" spans="1:44" ht="12" customHeight="1">
      <c r="A20" s="196">
        <f>IF(B20="","",3)</f>
        <v>3</v>
      </c>
      <c r="B20" s="197">
        <v>39</v>
      </c>
      <c r="C20" s="198">
        <f>IF(F20="","",4)</f>
        <v>4</v>
      </c>
      <c r="D20" s="199">
        <f t="shared" si="0"/>
        <v>24</v>
      </c>
      <c r="E20" s="200" t="str">
        <f t="shared" si="5"/>
        <v>富山パレス</v>
      </c>
      <c r="F20" s="201" t="str">
        <f t="shared" si="1"/>
        <v>高畠　龍斗</v>
      </c>
      <c r="G20" s="202">
        <v>1</v>
      </c>
      <c r="H20" s="204" t="s">
        <v>199</v>
      </c>
      <c r="I20" s="204">
        <v>3</v>
      </c>
      <c r="J20" s="203"/>
      <c r="K20" s="204" t="s">
        <v>199</v>
      </c>
      <c r="L20" s="205"/>
      <c r="M20" s="206" t="str">
        <f>LEFT(G20,1)</f>
        <v>1</v>
      </c>
      <c r="N20" s="207" t="str">
        <f>LEFT(H20,1)</f>
        <v>v</v>
      </c>
      <c r="O20" s="207" t="str">
        <f>LEFT(I20,1)</f>
        <v>3</v>
      </c>
      <c r="P20" s="207"/>
      <c r="Q20" s="207" t="str">
        <f>LEFT(K20,1)</f>
        <v>v</v>
      </c>
      <c r="R20" s="208" t="str">
        <f t="shared" si="15"/>
        <v/>
      </c>
      <c r="S20" s="206">
        <f>IF(ISERROR(VALUE(RIGHT(G20,1))),"",VALUE(RIGHT(G20,1)))</f>
        <v>1</v>
      </c>
      <c r="T20" s="207">
        <f>IF(ISERROR(VALUE(RIGHT(H20,1))),"",VALUE(RIGHT(H20,1)))</f>
        <v>5</v>
      </c>
      <c r="U20" s="207">
        <f>IF(ISERROR(VALUE(RIGHT(I20,1))),"",VALUE(RIGHT(I20,1)))</f>
        <v>3</v>
      </c>
      <c r="V20" s="207"/>
      <c r="W20" s="207">
        <f>IF(ISERROR(VALUE(RIGHT(K20,1))),"",VALUE(RIGHT(K20,1)))</f>
        <v>5</v>
      </c>
      <c r="X20" s="208" t="str">
        <f>IF(ISERROR(VALUE(RIGHT(L20,1))),"",VALUE(RIGHT(L20,1)))</f>
        <v/>
      </c>
      <c r="Y20" s="209">
        <f t="shared" si="10"/>
        <v>24</v>
      </c>
      <c r="Z20" s="210">
        <f t="shared" si="2"/>
        <v>4</v>
      </c>
      <c r="AA20" s="211">
        <f t="shared" si="3"/>
        <v>2</v>
      </c>
      <c r="AB20" s="212">
        <f t="shared" si="4"/>
        <v>0.5</v>
      </c>
      <c r="AC20" s="213">
        <f t="shared" si="11"/>
        <v>14</v>
      </c>
      <c r="AD20" s="211">
        <f>IF(B20&gt;0,SUM(V17:V22),"")</f>
        <v>11</v>
      </c>
      <c r="AE20" s="199">
        <f t="shared" si="12"/>
        <v>3</v>
      </c>
      <c r="AF20" s="199">
        <f t="shared" si="16"/>
        <v>24</v>
      </c>
      <c r="AG20" s="242"/>
      <c r="AH20" s="245">
        <f t="shared" si="14"/>
        <v>50314101</v>
      </c>
      <c r="AM20" s="214">
        <f>IF(P17="V",IF(M20="D",0,1),IF(P17="D",IF(M20="V",0,1),1))</f>
        <v>1</v>
      </c>
      <c r="AN20" s="215">
        <f>IF(P18="V",IF(N20="D",0,1),IF(P18="D",IF(N20="V",0,1),1))</f>
        <v>1</v>
      </c>
      <c r="AO20" s="215">
        <f>IF(P19="V",IF(O20="D",0,1),IF(P19="D",IF(O20="V",0,1),1))</f>
        <v>1</v>
      </c>
      <c r="AP20" s="215"/>
      <c r="AQ20" s="215">
        <f>IF(Q20="V",IF(P21="D",0,1),IF(Q20="D",IF(P21="V",0,1),1))</f>
        <v>1</v>
      </c>
      <c r="AR20" s="216">
        <f>IF(R20="V",IF(P22="D",0,1),IF(R20="D",IF(P22="V",0,1),1))</f>
        <v>1</v>
      </c>
    </row>
    <row r="21" spans="1:44" ht="12" customHeight="1">
      <c r="A21" s="196">
        <f>IF(B21="","",3)</f>
        <v>3</v>
      </c>
      <c r="B21" s="197">
        <v>48</v>
      </c>
      <c r="C21" s="198">
        <f>IF(F21="","",5)</f>
        <v>5</v>
      </c>
      <c r="D21" s="199">
        <f t="shared" si="0"/>
        <v>34</v>
      </c>
      <c r="E21" s="200" t="str">
        <f t="shared" si="5"/>
        <v>はしまモア</v>
      </c>
      <c r="F21" s="201" t="str">
        <f t="shared" si="1"/>
        <v>大橋　拓叶</v>
      </c>
      <c r="G21" s="202">
        <v>2</v>
      </c>
      <c r="H21" s="204" t="s">
        <v>199</v>
      </c>
      <c r="I21" s="204">
        <v>2</v>
      </c>
      <c r="J21" s="204">
        <v>0</v>
      </c>
      <c r="K21" s="203"/>
      <c r="L21" s="205"/>
      <c r="M21" s="206" t="str">
        <f>LEFT(G21,1)</f>
        <v>2</v>
      </c>
      <c r="N21" s="207" t="str">
        <f>LEFT(H21,1)</f>
        <v>v</v>
      </c>
      <c r="O21" s="207" t="str">
        <f>LEFT(I21,1)</f>
        <v>2</v>
      </c>
      <c r="P21" s="207" t="str">
        <f>LEFT(J21,1)</f>
        <v>0</v>
      </c>
      <c r="Q21" s="207"/>
      <c r="R21" s="208" t="str">
        <f t="shared" si="15"/>
        <v/>
      </c>
      <c r="S21" s="206">
        <f>IF(ISERROR(VALUE(RIGHT(G21,1))),"",VALUE(RIGHT(G21,1)))</f>
        <v>2</v>
      </c>
      <c r="T21" s="207">
        <f>IF(ISERROR(VALUE(RIGHT(H21,1))),"",VALUE(RIGHT(H21,1)))</f>
        <v>5</v>
      </c>
      <c r="U21" s="207">
        <f>IF(ISERROR(VALUE(RIGHT(I21,1))),"",VALUE(RIGHT(I21,1)))</f>
        <v>2</v>
      </c>
      <c r="V21" s="207">
        <f>IF(ISERROR(VALUE(RIGHT(J21,1))),"",VALUE(RIGHT(J21,1)))</f>
        <v>0</v>
      </c>
      <c r="W21" s="207"/>
      <c r="X21" s="208" t="str">
        <f>IF(ISERROR(VALUE(RIGHT(L21,1))),"",VALUE(RIGHT(L21,1)))</f>
        <v/>
      </c>
      <c r="Y21" s="209">
        <f t="shared" si="10"/>
        <v>34</v>
      </c>
      <c r="Z21" s="210">
        <f t="shared" si="2"/>
        <v>4</v>
      </c>
      <c r="AA21" s="211">
        <f t="shared" si="3"/>
        <v>1</v>
      </c>
      <c r="AB21" s="212">
        <f t="shared" si="4"/>
        <v>0.25</v>
      </c>
      <c r="AC21" s="213">
        <f t="shared" si="11"/>
        <v>9</v>
      </c>
      <c r="AD21" s="211">
        <f>IF(B21&gt;0,SUM(W17:W22),"")</f>
        <v>17</v>
      </c>
      <c r="AE21" s="199">
        <f t="shared" si="12"/>
        <v>-8</v>
      </c>
      <c r="AF21" s="199">
        <f t="shared" si="16"/>
        <v>34</v>
      </c>
      <c r="AG21" s="242"/>
      <c r="AH21" s="245">
        <f t="shared" si="14"/>
        <v>24209042</v>
      </c>
      <c r="AM21" s="214">
        <f>IF(Q17="V",IF(M21="D",0,1),IF(Q17="D",IF(M21="V",0,1),1))</f>
        <v>1</v>
      </c>
      <c r="AN21" s="215">
        <f>IF(Q18="V",IF(N21="D",0,1),IF(Q18="D",IF(N21="V",0,1),1))</f>
        <v>1</v>
      </c>
      <c r="AO21" s="215">
        <f>IF(Q19="V",IF(O21="D",0,1),IF(Q19="D",IF(O21="V",0,1),1))</f>
        <v>1</v>
      </c>
      <c r="AP21" s="215">
        <f>IF(Q20="V",IF(P21="D",0,1),IF(Q20="D",IF(P21="V",0,1),1))</f>
        <v>1</v>
      </c>
      <c r="AQ21" s="215"/>
      <c r="AR21" s="216">
        <f>IF(R21="V",IF(Q22="D",0,1),IF(R21="D",IF(Q22="V",0,1),1))</f>
        <v>1</v>
      </c>
    </row>
    <row r="22" spans="1:44" ht="12" customHeight="1">
      <c r="A22" s="217" t="str">
        <f>IF(B22="","",3)</f>
        <v/>
      </c>
      <c r="B22" s="218"/>
      <c r="C22" s="219" t="str">
        <f>IF(F22="","",6)</f>
        <v/>
      </c>
      <c r="D22" s="220" t="str">
        <f t="shared" si="0"/>
        <v/>
      </c>
      <c r="E22" s="221" t="str">
        <f t="shared" si="5"/>
        <v/>
      </c>
      <c r="F22" s="222" t="str">
        <f t="shared" si="1"/>
        <v/>
      </c>
      <c r="G22" s="223"/>
      <c r="H22" s="224"/>
      <c r="I22" s="224"/>
      <c r="J22" s="224"/>
      <c r="K22" s="224"/>
      <c r="L22" s="225"/>
      <c r="M22" s="226" t="str">
        <f>LEFT(G22,1)</f>
        <v/>
      </c>
      <c r="N22" s="227" t="str">
        <f>LEFT(H22,1)</f>
        <v/>
      </c>
      <c r="O22" s="227" t="str">
        <f>LEFT(I22,1)</f>
        <v/>
      </c>
      <c r="P22" s="227" t="str">
        <f>LEFT(J22,1)</f>
        <v/>
      </c>
      <c r="Q22" s="227" t="str">
        <f>LEFT(K22,1)</f>
        <v/>
      </c>
      <c r="R22" s="228" t="str">
        <f t="shared" si="15"/>
        <v/>
      </c>
      <c r="S22" s="226" t="str">
        <f>IF(ISERROR(VALUE(RIGHT(G22,1))),"",VALUE(RIGHT(G22,1)))</f>
        <v/>
      </c>
      <c r="T22" s="227" t="str">
        <f>IF(ISERROR(VALUE(RIGHT(H22,1))),"",VALUE(RIGHT(H22,1)))</f>
        <v/>
      </c>
      <c r="U22" s="227" t="str">
        <f>IF(ISERROR(VALUE(RIGHT(I22,1))),"",VALUE(RIGHT(I22,1)))</f>
        <v/>
      </c>
      <c r="V22" s="227" t="str">
        <f>IF(ISERROR(VALUE(RIGHT(J22,1))),"",VALUE(RIGHT(J22,1)))</f>
        <v/>
      </c>
      <c r="W22" s="227" t="str">
        <f>IF(ISERROR(VALUE(RIGHT(K22,1))),"",VALUE(RIGHT(K22,1)))</f>
        <v/>
      </c>
      <c r="X22" s="228"/>
      <c r="Y22" s="229" t="str">
        <f t="shared" si="10"/>
        <v/>
      </c>
      <c r="Z22" s="230" t="str">
        <f t="shared" si="2"/>
        <v/>
      </c>
      <c r="AA22" s="231" t="str">
        <f t="shared" si="3"/>
        <v/>
      </c>
      <c r="AB22" s="232" t="str">
        <f t="shared" si="4"/>
        <v/>
      </c>
      <c r="AC22" s="233" t="str">
        <f t="shared" si="11"/>
        <v/>
      </c>
      <c r="AD22" s="231" t="str">
        <f>IF(B22&gt;0,SUM(X17:X22),"")</f>
        <v/>
      </c>
      <c r="AE22" s="234" t="str">
        <f t="shared" si="12"/>
        <v/>
      </c>
      <c r="AF22" s="234" t="str">
        <f>IF(ISERROR(D22),"",D22)</f>
        <v/>
      </c>
      <c r="AG22" s="243"/>
      <c r="AH22" s="246" t="str">
        <f t="shared" si="14"/>
        <v/>
      </c>
      <c r="AM22" s="235">
        <f>IF(R17="V",IF(M22="D",0,1),IF(R17="D",IF(M22="V",0,1),1))</f>
        <v>1</v>
      </c>
      <c r="AN22" s="236">
        <f>IF(R18="V",IF(N22="D",0,1),IF(R18="D",IF(N22="V",0,1),1))</f>
        <v>1</v>
      </c>
      <c r="AO22" s="236">
        <f>IF(R19="V",IF(O22="D",0,1),IF(R19="D",IF(O22="V",0,1),1))</f>
        <v>1</v>
      </c>
      <c r="AP22" s="236">
        <f>IF(R20="V",IF(P22="D",0,1),IF(R20="D",IF(P22="V",0,1),1))</f>
        <v>1</v>
      </c>
      <c r="AQ22" s="236">
        <f>IF(R21="V",IF(Q22="D",0,1),IF(R21="D",IF(Q22="V",0,1),1))</f>
        <v>1</v>
      </c>
      <c r="AR22" s="237"/>
    </row>
    <row r="23" spans="1:44" ht="12" customHeight="1">
      <c r="A23" s="175">
        <v>4</v>
      </c>
      <c r="B23" s="176">
        <v>4</v>
      </c>
      <c r="C23" s="177">
        <f>IF(F23="","",1)</f>
        <v>1</v>
      </c>
      <c r="D23" s="178">
        <f t="shared" si="0"/>
        <v>1</v>
      </c>
      <c r="E23" s="179" t="str">
        <f t="shared" si="5"/>
        <v>はしまモア</v>
      </c>
      <c r="F23" s="180" t="str">
        <f t="shared" si="1"/>
        <v>福田　亮介</v>
      </c>
      <c r="G23" s="181"/>
      <c r="H23" s="182" t="s">
        <v>199</v>
      </c>
      <c r="I23" s="182" t="s">
        <v>199</v>
      </c>
      <c r="J23" s="182" t="s">
        <v>199</v>
      </c>
      <c r="K23" s="182" t="s">
        <v>199</v>
      </c>
      <c r="L23" s="183" t="s">
        <v>199</v>
      </c>
      <c r="M23" s="184"/>
      <c r="N23" s="185" t="str">
        <f>LEFT(H23,1)</f>
        <v>v</v>
      </c>
      <c r="O23" s="185" t="str">
        <f>LEFT(I23,1)</f>
        <v>v</v>
      </c>
      <c r="P23" s="185" t="str">
        <f>LEFT(J23,1)</f>
        <v>v</v>
      </c>
      <c r="Q23" s="185" t="str">
        <f>LEFT(K23,1)</f>
        <v>v</v>
      </c>
      <c r="R23" s="186" t="str">
        <f t="shared" si="15"/>
        <v>v</v>
      </c>
      <c r="S23" s="184"/>
      <c r="T23" s="185">
        <f>IF(ISERROR(VALUE(RIGHT(H23,1))),"",VALUE(RIGHT(H23,1)))</f>
        <v>5</v>
      </c>
      <c r="U23" s="185">
        <f>IF(ISERROR(VALUE(RIGHT(I23,1))),"",VALUE(RIGHT(I23,1)))</f>
        <v>5</v>
      </c>
      <c r="V23" s="185">
        <f>IF(ISERROR(VALUE(RIGHT(J23,1))),"",VALUE(RIGHT(J23,1)))</f>
        <v>5</v>
      </c>
      <c r="W23" s="185">
        <f>IF(ISERROR(VALUE(RIGHT(K23,1))),"",VALUE(RIGHT(K23,1)))</f>
        <v>5</v>
      </c>
      <c r="X23" s="186">
        <f>IF(ISERROR(VALUE(RIGHT(L23,1))),"",VALUE(RIGHT(L23,1)))</f>
        <v>5</v>
      </c>
      <c r="Y23" s="187">
        <f t="shared" si="10"/>
        <v>1</v>
      </c>
      <c r="Z23" s="188">
        <f t="shared" si="2"/>
        <v>5</v>
      </c>
      <c r="AA23" s="189">
        <f t="shared" si="3"/>
        <v>5</v>
      </c>
      <c r="AB23" s="190">
        <f t="shared" si="4"/>
        <v>1</v>
      </c>
      <c r="AC23" s="191">
        <f t="shared" si="11"/>
        <v>25</v>
      </c>
      <c r="AD23" s="189">
        <f>IF(B23&gt;0,SUM(S23:S28),"")</f>
        <v>2</v>
      </c>
      <c r="AE23" s="178">
        <f t="shared" si="12"/>
        <v>23</v>
      </c>
      <c r="AF23" s="178">
        <f>IF(ISERROR(D23),"",D23)</f>
        <v>1</v>
      </c>
      <c r="AG23" s="241"/>
      <c r="AH23" s="244">
        <f t="shared" si="14"/>
        <v>102325246</v>
      </c>
      <c r="AM23" s="193"/>
      <c r="AN23" s="194">
        <f>IF(N23="V",IF(M24="D",0,1),IF(N23="D",IF(M24="V",0,1),1))</f>
        <v>1</v>
      </c>
      <c r="AO23" s="194">
        <f>IF(O23="V",IF(M25="D",0,1),IF(O23="D",IF(M25="V",0,1),1))</f>
        <v>1</v>
      </c>
      <c r="AP23" s="194">
        <f>IF(P23="V",IF(M26="D",0,1),IF(P23="D",IF(M26="V",0,1),1))</f>
        <v>1</v>
      </c>
      <c r="AQ23" s="194">
        <f>IF(Q23="V",IF(M27="D",0,1),IF(Q23="D",IF(M27="V",0,1),1))</f>
        <v>1</v>
      </c>
      <c r="AR23" s="195">
        <f>IF(R23="V",IF(M28="D",0,1),IF(R23="D",IF(M28="V",0,1),1))</f>
        <v>1</v>
      </c>
    </row>
    <row r="24" spans="1:44" ht="12" customHeight="1">
      <c r="A24" s="196">
        <f>IF(B24="","",4)</f>
        <v>4</v>
      </c>
      <c r="B24" s="197">
        <v>15</v>
      </c>
      <c r="C24" s="198">
        <f>IF(F24="","",2)</f>
        <v>2</v>
      </c>
      <c r="D24" s="199">
        <f t="shared" si="0"/>
        <v>43</v>
      </c>
      <c r="E24" s="200" t="str">
        <f t="shared" si="5"/>
        <v>速星中学校</v>
      </c>
      <c r="F24" s="201" t="str">
        <f t="shared" si="1"/>
        <v>小林　颯一</v>
      </c>
      <c r="G24" s="202">
        <v>2</v>
      </c>
      <c r="H24" s="203"/>
      <c r="I24" s="204">
        <v>1</v>
      </c>
      <c r="J24" s="204">
        <v>4</v>
      </c>
      <c r="K24" s="204">
        <v>4</v>
      </c>
      <c r="L24" s="205">
        <v>2</v>
      </c>
      <c r="M24" s="206" t="str">
        <f>LEFT(G24,1)</f>
        <v>2</v>
      </c>
      <c r="N24" s="207"/>
      <c r="O24" s="207" t="str">
        <f>LEFT(I24,1)</f>
        <v>1</v>
      </c>
      <c r="P24" s="207" t="str">
        <f>LEFT(J24,1)</f>
        <v>4</v>
      </c>
      <c r="Q24" s="207" t="str">
        <f>LEFT(K24,1)</f>
        <v>4</v>
      </c>
      <c r="R24" s="208" t="str">
        <f t="shared" si="15"/>
        <v>2</v>
      </c>
      <c r="S24" s="206">
        <f>IF(ISERROR(VALUE(RIGHT(G24,1))),"",VALUE(RIGHT(G24,1)))</f>
        <v>2</v>
      </c>
      <c r="T24" s="207"/>
      <c r="U24" s="207">
        <f>IF(ISERROR(VALUE(RIGHT(I24,1))),"",VALUE(RIGHT(I24,1)))</f>
        <v>1</v>
      </c>
      <c r="V24" s="207">
        <f>IF(ISERROR(VALUE(RIGHT(J24,1))),"",VALUE(RIGHT(J24,1)))</f>
        <v>4</v>
      </c>
      <c r="W24" s="207">
        <f>IF(ISERROR(VALUE(RIGHT(K24,1))),"",VALUE(RIGHT(K24,1)))</f>
        <v>4</v>
      </c>
      <c r="X24" s="208">
        <f>IF(ISERROR(VALUE(RIGHT(L24,1))),"",VALUE(RIGHT(L24,1)))</f>
        <v>2</v>
      </c>
      <c r="Y24" s="209">
        <f t="shared" si="10"/>
        <v>43</v>
      </c>
      <c r="Z24" s="210">
        <f t="shared" si="2"/>
        <v>5</v>
      </c>
      <c r="AA24" s="211">
        <f t="shared" si="3"/>
        <v>0</v>
      </c>
      <c r="AB24" s="212">
        <f t="shared" si="4"/>
        <v>0</v>
      </c>
      <c r="AC24" s="213">
        <f t="shared" si="11"/>
        <v>13</v>
      </c>
      <c r="AD24" s="211">
        <f>IF(B24&gt;0,SUM(T23:T28),"")</f>
        <v>25</v>
      </c>
      <c r="AE24" s="199">
        <f t="shared" si="12"/>
        <v>-12</v>
      </c>
      <c r="AF24" s="199">
        <f t="shared" ref="AF24:AF27" si="17">IF(ISERROR(D24),"",D24)</f>
        <v>43</v>
      </c>
      <c r="AG24" s="242"/>
      <c r="AH24" s="245">
        <f t="shared" si="14"/>
        <v>-1186885</v>
      </c>
      <c r="AM24" s="214">
        <f>IF(N23="V",IF(M24="D",0,1),IF(N23="D",IF(M24="V",0,1),1))</f>
        <v>1</v>
      </c>
      <c r="AN24" s="215"/>
      <c r="AO24" s="215">
        <f>IF(O24="V",IF(N25="D",0,1),IF(O24="D",IF(N25="V",0,1),1))</f>
        <v>1</v>
      </c>
      <c r="AP24" s="215">
        <f>IF(P24="V",IF(N26="D",0,1),IF(P24="D",IF(N26="V",0,1),1))</f>
        <v>1</v>
      </c>
      <c r="AQ24" s="215">
        <f>IF(Q24="V",IF(N27="D",0,1),IF(Q24="D",IF(N27="V",0,1),1))</f>
        <v>1</v>
      </c>
      <c r="AR24" s="216">
        <f>IF(R24="V",IF(N28="D",0,1),IF(R24="D",IF(N28="V",0,1),1))</f>
        <v>1</v>
      </c>
    </row>
    <row r="25" spans="1:44" ht="12" customHeight="1">
      <c r="A25" s="196">
        <f>IF(B25="","",4)</f>
        <v>4</v>
      </c>
      <c r="B25" s="197">
        <v>27</v>
      </c>
      <c r="C25" s="198">
        <f>IF(F25="","",3)</f>
        <v>3</v>
      </c>
      <c r="D25" s="199">
        <f t="shared" si="0"/>
        <v>21</v>
      </c>
      <c r="E25" s="200" t="str">
        <f t="shared" si="5"/>
        <v>滋賀ＪＦＣ</v>
      </c>
      <c r="F25" s="201" t="str">
        <f t="shared" si="1"/>
        <v>保知　純乃介</v>
      </c>
      <c r="G25" s="202">
        <v>0</v>
      </c>
      <c r="H25" s="204" t="s">
        <v>199</v>
      </c>
      <c r="I25" s="203"/>
      <c r="J25" s="204" t="s">
        <v>199</v>
      </c>
      <c r="K25" s="204" t="s">
        <v>199</v>
      </c>
      <c r="L25" s="205">
        <v>0</v>
      </c>
      <c r="M25" s="206" t="str">
        <f>LEFT(G25,1)</f>
        <v>0</v>
      </c>
      <c r="N25" s="207" t="str">
        <f>LEFT(H25,1)</f>
        <v>v</v>
      </c>
      <c r="O25" s="207"/>
      <c r="P25" s="207" t="str">
        <f>LEFT(J25,1)</f>
        <v>v</v>
      </c>
      <c r="Q25" s="207" t="str">
        <f>LEFT(K25,1)</f>
        <v>v</v>
      </c>
      <c r="R25" s="208" t="str">
        <f t="shared" si="15"/>
        <v>0</v>
      </c>
      <c r="S25" s="206">
        <f>IF(ISERROR(VALUE(RIGHT(G25,1))),"",VALUE(RIGHT(G25,1)))</f>
        <v>0</v>
      </c>
      <c r="T25" s="207">
        <f>IF(ISERROR(VALUE(RIGHT(H25,1))),"",VALUE(RIGHT(H25,1)))</f>
        <v>5</v>
      </c>
      <c r="U25" s="207"/>
      <c r="V25" s="207">
        <f>IF(ISERROR(VALUE(RIGHT(J25,1))),"",VALUE(RIGHT(J25,1)))</f>
        <v>5</v>
      </c>
      <c r="W25" s="207">
        <f>IF(ISERROR(VALUE(RIGHT(K25,1))),"",VALUE(RIGHT(K25,1)))</f>
        <v>5</v>
      </c>
      <c r="X25" s="208">
        <f>IF(ISERROR(VALUE(RIGHT(L25,1))),"",VALUE(RIGHT(L25,1)))</f>
        <v>0</v>
      </c>
      <c r="Y25" s="209">
        <f t="shared" si="10"/>
        <v>21</v>
      </c>
      <c r="Z25" s="210">
        <f t="shared" si="2"/>
        <v>5</v>
      </c>
      <c r="AA25" s="211">
        <f t="shared" si="3"/>
        <v>3</v>
      </c>
      <c r="AB25" s="212">
        <f t="shared" si="4"/>
        <v>0.6</v>
      </c>
      <c r="AC25" s="213">
        <f t="shared" si="11"/>
        <v>15</v>
      </c>
      <c r="AD25" s="211">
        <f>IF(B25&gt;0,SUM(U23:U28),"")</f>
        <v>15</v>
      </c>
      <c r="AE25" s="199">
        <f t="shared" si="12"/>
        <v>0</v>
      </c>
      <c r="AF25" s="199">
        <f t="shared" si="17"/>
        <v>21</v>
      </c>
      <c r="AG25" s="242"/>
      <c r="AH25" s="245">
        <f t="shared" si="14"/>
        <v>60015123</v>
      </c>
      <c r="AM25" s="214">
        <f>IF(O23="V",IF(M25="D",0,1),IF(O23="D",IF(M25="V",0,1),1))</f>
        <v>1</v>
      </c>
      <c r="AN25" s="215">
        <f>IF(O24="V",IF(N25="D",0,1),IF(O24="D",IF(N25="V",0,1),1))</f>
        <v>1</v>
      </c>
      <c r="AO25" s="215"/>
      <c r="AP25" s="215">
        <f>IF(P25="V",IF(O26="D",0,1),IF(P25="D",IF(O26="V",0,1),1))</f>
        <v>1</v>
      </c>
      <c r="AQ25" s="215">
        <f>IF(Q25="V",IF(O27="D",0,1),IF(Q25="D",IF(O27="V",0,1),1))</f>
        <v>1</v>
      </c>
      <c r="AR25" s="216">
        <f>IF(R25="V",IF(O28="D",0,1),IF(R25="D",IF(O28="V",0,1),1))</f>
        <v>1</v>
      </c>
    </row>
    <row r="26" spans="1:44" ht="12" customHeight="1">
      <c r="A26" s="196">
        <f>IF(B26="","",4)</f>
        <v>4</v>
      </c>
      <c r="B26" s="197">
        <v>33</v>
      </c>
      <c r="C26" s="198">
        <f>IF(F26="","",4)</f>
        <v>4</v>
      </c>
      <c r="D26" s="199">
        <f t="shared" si="0"/>
        <v>39</v>
      </c>
      <c r="E26" s="200" t="str">
        <f t="shared" si="5"/>
        <v>愛工大付属</v>
      </c>
      <c r="F26" s="201" t="str">
        <f t="shared" si="1"/>
        <v>永津　稜麻</v>
      </c>
      <c r="G26" s="202">
        <v>0</v>
      </c>
      <c r="H26" s="204" t="s">
        <v>199</v>
      </c>
      <c r="I26" s="204">
        <v>1</v>
      </c>
      <c r="J26" s="203"/>
      <c r="K26" s="204">
        <v>1</v>
      </c>
      <c r="L26" s="205">
        <v>1</v>
      </c>
      <c r="M26" s="206" t="str">
        <f>LEFT(G26,1)</f>
        <v>0</v>
      </c>
      <c r="N26" s="207" t="str">
        <f>LEFT(H26,1)</f>
        <v>v</v>
      </c>
      <c r="O26" s="207" t="str">
        <f>LEFT(I26,1)</f>
        <v>1</v>
      </c>
      <c r="P26" s="207"/>
      <c r="Q26" s="207" t="str">
        <f>LEFT(K26,1)</f>
        <v>1</v>
      </c>
      <c r="R26" s="208" t="str">
        <f t="shared" si="15"/>
        <v>1</v>
      </c>
      <c r="S26" s="206">
        <f>IF(ISERROR(VALUE(RIGHT(G26,1))),"",VALUE(RIGHT(G26,1)))</f>
        <v>0</v>
      </c>
      <c r="T26" s="207">
        <f>IF(ISERROR(VALUE(RIGHT(H26,1))),"",VALUE(RIGHT(H26,1)))</f>
        <v>5</v>
      </c>
      <c r="U26" s="207">
        <f>IF(ISERROR(VALUE(RIGHT(I26,1))),"",VALUE(RIGHT(I26,1)))</f>
        <v>1</v>
      </c>
      <c r="V26" s="207"/>
      <c r="W26" s="207">
        <f>IF(ISERROR(VALUE(RIGHT(K26,1))),"",VALUE(RIGHT(K26,1)))</f>
        <v>1</v>
      </c>
      <c r="X26" s="208">
        <f>IF(ISERROR(VALUE(RIGHT(L26,1))),"",VALUE(RIGHT(L26,1)))</f>
        <v>1</v>
      </c>
      <c r="Y26" s="209">
        <f t="shared" si="10"/>
        <v>39</v>
      </c>
      <c r="Z26" s="210">
        <f t="shared" si="2"/>
        <v>5</v>
      </c>
      <c r="AA26" s="211">
        <f t="shared" si="3"/>
        <v>1</v>
      </c>
      <c r="AB26" s="212">
        <f t="shared" si="4"/>
        <v>0.2</v>
      </c>
      <c r="AC26" s="213">
        <f t="shared" si="11"/>
        <v>8</v>
      </c>
      <c r="AD26" s="211">
        <f>IF(B26&gt;0,SUM(V23:V28),"")</f>
        <v>24</v>
      </c>
      <c r="AE26" s="199">
        <f t="shared" si="12"/>
        <v>-16</v>
      </c>
      <c r="AF26" s="199">
        <f t="shared" si="17"/>
        <v>39</v>
      </c>
      <c r="AG26" s="242"/>
      <c r="AH26" s="245">
        <f t="shared" si="14"/>
        <v>18408047</v>
      </c>
      <c r="AM26" s="214">
        <f>IF(P23="V",IF(M26="D",0,1),IF(P23="D",IF(M26="V",0,1),1))</f>
        <v>1</v>
      </c>
      <c r="AN26" s="215">
        <f>IF(P24="V",IF(N26="D",0,1),IF(P24="D",IF(N26="V",0,1),1))</f>
        <v>1</v>
      </c>
      <c r="AO26" s="215">
        <f>IF(P25="V",IF(O26="D",0,1),IF(P25="D",IF(O26="V",0,1),1))</f>
        <v>1</v>
      </c>
      <c r="AP26" s="215"/>
      <c r="AQ26" s="215">
        <f>IF(Q26="V",IF(P27="D",0,1),IF(Q26="D",IF(P27="V",0,1),1))</f>
        <v>1</v>
      </c>
      <c r="AR26" s="216">
        <f>IF(R26="V",IF(P28="D",0,1),IF(R26="D",IF(P28="V",0,1),1))</f>
        <v>1</v>
      </c>
    </row>
    <row r="27" spans="1:44" ht="12" customHeight="1">
      <c r="A27" s="196">
        <f>IF(B27="","",4)</f>
        <v>4</v>
      </c>
      <c r="B27" s="197">
        <v>40</v>
      </c>
      <c r="C27" s="198">
        <f>IF(F27="","",5)</f>
        <v>5</v>
      </c>
      <c r="D27" s="199">
        <f t="shared" si="0"/>
        <v>32</v>
      </c>
      <c r="E27" s="200" t="str">
        <f t="shared" si="5"/>
        <v>富山パレス</v>
      </c>
      <c r="F27" s="201" t="str">
        <f t="shared" si="1"/>
        <v>土田　龍也</v>
      </c>
      <c r="G27" s="202">
        <v>0</v>
      </c>
      <c r="H27" s="204" t="s">
        <v>199</v>
      </c>
      <c r="I27" s="204">
        <v>3</v>
      </c>
      <c r="J27" s="204" t="s">
        <v>199</v>
      </c>
      <c r="K27" s="203"/>
      <c r="L27" s="205">
        <v>2</v>
      </c>
      <c r="M27" s="206" t="str">
        <f>LEFT(G27,1)</f>
        <v>0</v>
      </c>
      <c r="N27" s="207" t="str">
        <f>LEFT(H27,1)</f>
        <v>v</v>
      </c>
      <c r="O27" s="207" t="str">
        <f>LEFT(I27,1)</f>
        <v>3</v>
      </c>
      <c r="P27" s="207" t="str">
        <f>LEFT(J27,1)</f>
        <v>v</v>
      </c>
      <c r="Q27" s="207"/>
      <c r="R27" s="208" t="str">
        <f t="shared" si="15"/>
        <v>2</v>
      </c>
      <c r="S27" s="206">
        <f>IF(ISERROR(VALUE(RIGHT(G27,1))),"",VALUE(RIGHT(G27,1)))</f>
        <v>0</v>
      </c>
      <c r="T27" s="207">
        <f>IF(ISERROR(VALUE(RIGHT(H27,1))),"",VALUE(RIGHT(H27,1)))</f>
        <v>5</v>
      </c>
      <c r="U27" s="207">
        <f>IF(ISERROR(VALUE(RIGHT(I27,1))),"",VALUE(RIGHT(I27,1)))</f>
        <v>3</v>
      </c>
      <c r="V27" s="207">
        <f>IF(ISERROR(VALUE(RIGHT(J27,1))),"",VALUE(RIGHT(J27,1)))</f>
        <v>5</v>
      </c>
      <c r="W27" s="207"/>
      <c r="X27" s="208">
        <f>IF(ISERROR(VALUE(RIGHT(L27,1))),"",VALUE(RIGHT(L27,1)))</f>
        <v>2</v>
      </c>
      <c r="Y27" s="209">
        <f t="shared" si="10"/>
        <v>32</v>
      </c>
      <c r="Z27" s="210">
        <f t="shared" si="2"/>
        <v>5</v>
      </c>
      <c r="AA27" s="211">
        <f t="shared" si="3"/>
        <v>2</v>
      </c>
      <c r="AB27" s="212">
        <f t="shared" si="4"/>
        <v>0.4</v>
      </c>
      <c r="AC27" s="213">
        <f t="shared" si="11"/>
        <v>15</v>
      </c>
      <c r="AD27" s="211">
        <f>IF(B27&gt;0,SUM(W23:W28),"")</f>
        <v>18</v>
      </c>
      <c r="AE27" s="199">
        <f t="shared" si="12"/>
        <v>-3</v>
      </c>
      <c r="AF27" s="199">
        <f t="shared" si="17"/>
        <v>32</v>
      </c>
      <c r="AG27" s="242"/>
      <c r="AH27" s="245">
        <f t="shared" si="14"/>
        <v>39715110</v>
      </c>
      <c r="AM27" s="214">
        <f>IF(Q23="V",IF(M27="D",0,1),IF(Q23="D",IF(M27="V",0,1),1))</f>
        <v>1</v>
      </c>
      <c r="AN27" s="215">
        <f>IF(Q24="V",IF(N27="D",0,1),IF(Q24="D",IF(N27="V",0,1),1))</f>
        <v>1</v>
      </c>
      <c r="AO27" s="215">
        <f>IF(Q25="V",IF(O27="D",0,1),IF(Q25="D",IF(O27="V",0,1),1))</f>
        <v>1</v>
      </c>
      <c r="AP27" s="215">
        <f>IF(Q26="V",IF(P27="D",0,1),IF(Q26="D",IF(P27="V",0,1),1))</f>
        <v>1</v>
      </c>
      <c r="AQ27" s="215"/>
      <c r="AR27" s="216">
        <f>IF(R27="V",IF(Q28="D",0,1),IF(R27="D",IF(Q28="V",0,1),1))</f>
        <v>1</v>
      </c>
    </row>
    <row r="28" spans="1:44" ht="12" customHeight="1">
      <c r="A28" s="217">
        <f>IF(B28="","",4)</f>
        <v>4</v>
      </c>
      <c r="B28" s="218">
        <v>43</v>
      </c>
      <c r="C28" s="219">
        <f>IF(F28="","",6)</f>
        <v>6</v>
      </c>
      <c r="D28" s="220">
        <f t="shared" si="0"/>
        <v>11</v>
      </c>
      <c r="E28" s="221" t="str">
        <f t="shared" si="5"/>
        <v>杉並ジュニア</v>
      </c>
      <c r="F28" s="222" t="str">
        <f t="shared" si="1"/>
        <v>山﨑　貴史</v>
      </c>
      <c r="G28" s="223">
        <v>0</v>
      </c>
      <c r="H28" s="224" t="s">
        <v>207</v>
      </c>
      <c r="I28" s="224" t="s">
        <v>199</v>
      </c>
      <c r="J28" s="224" t="s">
        <v>199</v>
      </c>
      <c r="K28" s="224" t="s">
        <v>208</v>
      </c>
      <c r="L28" s="225"/>
      <c r="M28" s="226" t="str">
        <f>LEFT(G28,1)</f>
        <v>0</v>
      </c>
      <c r="N28" s="227" t="str">
        <f>LEFT(H28,1)</f>
        <v>v</v>
      </c>
      <c r="O28" s="227" t="str">
        <f>LEFT(I28,1)</f>
        <v>v</v>
      </c>
      <c r="P28" s="227" t="str">
        <f>LEFT(J28,1)</f>
        <v>v</v>
      </c>
      <c r="Q28" s="227" t="str">
        <f>LEFT(K28,1)</f>
        <v>v</v>
      </c>
      <c r="R28" s="228" t="str">
        <f t="shared" si="15"/>
        <v/>
      </c>
      <c r="S28" s="226">
        <f>IF(ISERROR(VALUE(RIGHT(G28,1))),"",VALUE(RIGHT(G28,1)))</f>
        <v>0</v>
      </c>
      <c r="T28" s="227">
        <f>IF(ISERROR(VALUE(RIGHT(H28,1))),"",VALUE(RIGHT(H28,1)))</f>
        <v>5</v>
      </c>
      <c r="U28" s="227">
        <f>IF(ISERROR(VALUE(RIGHT(I28,1))),"",VALUE(RIGHT(I28,1)))</f>
        <v>5</v>
      </c>
      <c r="V28" s="227">
        <f>IF(ISERROR(VALUE(RIGHT(J28,1))),"",VALUE(RIGHT(J28,1)))</f>
        <v>5</v>
      </c>
      <c r="W28" s="227">
        <f>IF(ISERROR(VALUE(RIGHT(K28,1))),"",VALUE(RIGHT(K28,1)))</f>
        <v>3</v>
      </c>
      <c r="X28" s="228"/>
      <c r="Y28" s="229">
        <f t="shared" si="10"/>
        <v>11</v>
      </c>
      <c r="Z28" s="230">
        <f t="shared" si="2"/>
        <v>5</v>
      </c>
      <c r="AA28" s="231">
        <f t="shared" si="3"/>
        <v>4</v>
      </c>
      <c r="AB28" s="232">
        <f t="shared" si="4"/>
        <v>0.8</v>
      </c>
      <c r="AC28" s="233">
        <f t="shared" si="11"/>
        <v>18</v>
      </c>
      <c r="AD28" s="231">
        <f>IF(B28&gt;0,SUM(X23:X28),"")</f>
        <v>10</v>
      </c>
      <c r="AE28" s="234">
        <f t="shared" si="12"/>
        <v>8</v>
      </c>
      <c r="AF28" s="234">
        <f>IF(ISERROR(D28),"",D28)</f>
        <v>11</v>
      </c>
      <c r="AG28" s="243"/>
      <c r="AH28" s="246">
        <f t="shared" si="14"/>
        <v>80818137</v>
      </c>
      <c r="AM28" s="235">
        <f>IF(R23="V",IF(M28="D",0,1),IF(R23="D",IF(M28="V",0,1),1))</f>
        <v>1</v>
      </c>
      <c r="AN28" s="236">
        <f>IF(R24="V",IF(N28="D",0,1),IF(R24="D",IF(N28="V",0,1),1))</f>
        <v>1</v>
      </c>
      <c r="AO28" s="236">
        <f>IF(R25="V",IF(O28="D",0,1),IF(R25="D",IF(O28="V",0,1),1))</f>
        <v>1</v>
      </c>
      <c r="AP28" s="236">
        <f>IF(R26="V",IF(P28="D",0,1),IF(R26="D",IF(P28="V",0,1),1))</f>
        <v>1</v>
      </c>
      <c r="AQ28" s="236">
        <f>IF(R27="V",IF(Q28="D",0,1),IF(R27="D",IF(Q28="V",0,1),1))</f>
        <v>1</v>
      </c>
      <c r="AR28" s="237"/>
    </row>
    <row r="29" spans="1:44" ht="12" customHeight="1">
      <c r="A29" s="175">
        <v>5</v>
      </c>
      <c r="B29" s="176">
        <v>5</v>
      </c>
      <c r="C29" s="177">
        <f>IF(F29="","",1)</f>
        <v>1</v>
      </c>
      <c r="D29" s="178">
        <f t="shared" si="0"/>
        <v>22</v>
      </c>
      <c r="E29" s="179" t="str">
        <f t="shared" si="5"/>
        <v>箕輪中学校</v>
      </c>
      <c r="F29" s="180" t="str">
        <f t="shared" si="1"/>
        <v>中村　健人</v>
      </c>
      <c r="G29" s="181"/>
      <c r="H29" s="182" t="s">
        <v>199</v>
      </c>
      <c r="I29" s="182" t="s">
        <v>199</v>
      </c>
      <c r="J29" s="182" t="s">
        <v>199</v>
      </c>
      <c r="K29" s="182">
        <v>1</v>
      </c>
      <c r="L29" s="183">
        <v>1</v>
      </c>
      <c r="M29" s="184"/>
      <c r="N29" s="185" t="str">
        <f>LEFT(H29,1)</f>
        <v>v</v>
      </c>
      <c r="O29" s="185" t="str">
        <f>LEFT(I29,1)</f>
        <v>v</v>
      </c>
      <c r="P29" s="185" t="str">
        <f>LEFT(J29,1)</f>
        <v>v</v>
      </c>
      <c r="Q29" s="185" t="str">
        <f>LEFT(K29,1)</f>
        <v>1</v>
      </c>
      <c r="R29" s="186" t="str">
        <f t="shared" si="15"/>
        <v>1</v>
      </c>
      <c r="S29" s="184"/>
      <c r="T29" s="185">
        <f>IF(ISERROR(VALUE(RIGHT(H29,1))),"",VALUE(RIGHT(H29,1)))</f>
        <v>5</v>
      </c>
      <c r="U29" s="185">
        <f>IF(ISERROR(VALUE(RIGHT(I29,1))),"",VALUE(RIGHT(I29,1)))</f>
        <v>5</v>
      </c>
      <c r="V29" s="185">
        <f>IF(ISERROR(VALUE(RIGHT(J29,1))),"",VALUE(RIGHT(J29,1)))</f>
        <v>5</v>
      </c>
      <c r="W29" s="185">
        <f>IF(ISERROR(VALUE(RIGHT(K29,1))),"",VALUE(RIGHT(K29,1)))</f>
        <v>1</v>
      </c>
      <c r="X29" s="186">
        <f>IF(ISERROR(VALUE(RIGHT(L29,1))),"",VALUE(RIGHT(L29,1)))</f>
        <v>1</v>
      </c>
      <c r="Y29" s="187">
        <f t="shared" si="10"/>
        <v>22</v>
      </c>
      <c r="Z29" s="188">
        <f t="shared" si="2"/>
        <v>5</v>
      </c>
      <c r="AA29" s="189">
        <f t="shared" si="3"/>
        <v>3</v>
      </c>
      <c r="AB29" s="190">
        <f t="shared" si="4"/>
        <v>0.6</v>
      </c>
      <c r="AC29" s="191">
        <f t="shared" si="11"/>
        <v>17</v>
      </c>
      <c r="AD29" s="189">
        <f>IF(B29&gt;0,SUM(S29:S34),"")</f>
        <v>18</v>
      </c>
      <c r="AE29" s="178">
        <f t="shared" si="12"/>
        <v>-1</v>
      </c>
      <c r="AF29" s="178">
        <f>IF(ISERROR(D29),"",D29)</f>
        <v>22</v>
      </c>
      <c r="AG29" s="241"/>
      <c r="AH29" s="244">
        <f t="shared" si="14"/>
        <v>59917165</v>
      </c>
      <c r="AM29" s="193"/>
      <c r="AN29" s="194">
        <f>IF(N29="V",IF(M30="D",0,1),IF(N29="D",IF(M30="V",0,1),1))</f>
        <v>1</v>
      </c>
      <c r="AO29" s="194">
        <f>IF(O29="V",IF(M31="D",0,1),IF(O29="D",IF(M31="V",0,1),1))</f>
        <v>1</v>
      </c>
      <c r="AP29" s="194">
        <f>IF(P29="V",IF(M32="D",0,1),IF(P29="D",IF(M32="V",0,1),1))</f>
        <v>1</v>
      </c>
      <c r="AQ29" s="194">
        <f>IF(Q29="V",IF(M33="D",0,1),IF(Q29="D",IF(M33="V",0,1),1))</f>
        <v>1</v>
      </c>
      <c r="AR29" s="195">
        <f>IF(R29="V",IF(M34="D",0,1),IF(R29="D",IF(M34="V",0,1),1))</f>
        <v>1</v>
      </c>
    </row>
    <row r="30" spans="1:44" ht="12" customHeight="1">
      <c r="A30" s="196">
        <f>IF(B30="","",5)</f>
        <v>5</v>
      </c>
      <c r="B30" s="197">
        <v>14</v>
      </c>
      <c r="C30" s="198">
        <f>IF(F30="","",2)</f>
        <v>2</v>
      </c>
      <c r="D30" s="199">
        <f t="shared" si="0"/>
        <v>41</v>
      </c>
      <c r="E30" s="200" t="str">
        <f t="shared" si="5"/>
        <v>速星中学校</v>
      </c>
      <c r="F30" s="201" t="str">
        <f t="shared" si="1"/>
        <v>濱崎　隼十</v>
      </c>
      <c r="G30" s="202">
        <v>3</v>
      </c>
      <c r="H30" s="203"/>
      <c r="I30" s="204">
        <v>3</v>
      </c>
      <c r="J30" s="204">
        <v>4</v>
      </c>
      <c r="K30" s="204">
        <v>3</v>
      </c>
      <c r="L30" s="205">
        <v>2</v>
      </c>
      <c r="M30" s="206" t="str">
        <f>LEFT(G30,1)</f>
        <v>3</v>
      </c>
      <c r="N30" s="207"/>
      <c r="O30" s="207" t="str">
        <f>LEFT(I30,1)</f>
        <v>3</v>
      </c>
      <c r="P30" s="207" t="str">
        <f>LEFT(J30,1)</f>
        <v>4</v>
      </c>
      <c r="Q30" s="207" t="str">
        <f>LEFT(K30,1)</f>
        <v>3</v>
      </c>
      <c r="R30" s="208" t="str">
        <f t="shared" si="15"/>
        <v>2</v>
      </c>
      <c r="S30" s="206">
        <f>IF(ISERROR(VALUE(RIGHT(G30,1))),"",VALUE(RIGHT(G30,1)))</f>
        <v>3</v>
      </c>
      <c r="T30" s="207"/>
      <c r="U30" s="207">
        <f>IF(ISERROR(VALUE(RIGHT(I30,1))),"",VALUE(RIGHT(I30,1)))</f>
        <v>3</v>
      </c>
      <c r="V30" s="207">
        <f>IF(ISERROR(VALUE(RIGHT(J30,1))),"",VALUE(RIGHT(J30,1)))</f>
        <v>4</v>
      </c>
      <c r="W30" s="207">
        <f>IF(ISERROR(VALUE(RIGHT(K30,1))),"",VALUE(RIGHT(K30,1)))</f>
        <v>3</v>
      </c>
      <c r="X30" s="208">
        <f>IF(ISERROR(VALUE(RIGHT(L30,1))),"",VALUE(RIGHT(L30,1)))</f>
        <v>2</v>
      </c>
      <c r="Y30" s="209">
        <f t="shared" si="10"/>
        <v>41</v>
      </c>
      <c r="Z30" s="210">
        <f t="shared" si="2"/>
        <v>5</v>
      </c>
      <c r="AA30" s="211">
        <f t="shared" si="3"/>
        <v>0</v>
      </c>
      <c r="AB30" s="212">
        <f t="shared" si="4"/>
        <v>0</v>
      </c>
      <c r="AC30" s="213">
        <f t="shared" si="11"/>
        <v>15</v>
      </c>
      <c r="AD30" s="211">
        <f>IF(B30&gt;0,SUM(T29:T34),"")</f>
        <v>25</v>
      </c>
      <c r="AE30" s="199">
        <f t="shared" si="12"/>
        <v>-10</v>
      </c>
      <c r="AF30" s="199">
        <f t="shared" ref="AF30:AF33" si="18">IF(ISERROR(D30),"",D30)</f>
        <v>41</v>
      </c>
      <c r="AG30" s="242"/>
      <c r="AH30" s="245">
        <f t="shared" si="14"/>
        <v>-984864</v>
      </c>
      <c r="AM30" s="214">
        <f>IF(N29="V",IF(M30="D",0,1),IF(N29="D",IF(M30="V",0,1),1))</f>
        <v>1</v>
      </c>
      <c r="AN30" s="215"/>
      <c r="AO30" s="215">
        <f>IF(O30="V",IF(N31="D",0,1),IF(O30="D",IF(N31="V",0,1),1))</f>
        <v>1</v>
      </c>
      <c r="AP30" s="215">
        <f>IF(P30="V",IF(N32="D",0,1),IF(P30="D",IF(N32="V",0,1),1))</f>
        <v>1</v>
      </c>
      <c r="AQ30" s="215">
        <f>IF(Q30="V",IF(N33="D",0,1),IF(Q30="D",IF(N33="V",0,1),1))</f>
        <v>1</v>
      </c>
      <c r="AR30" s="216">
        <f>IF(R30="V",IF(N34="D",0,1),IF(R30="D",IF(N34="V",0,1),1))</f>
        <v>1</v>
      </c>
    </row>
    <row r="31" spans="1:44" ht="12" customHeight="1">
      <c r="A31" s="196">
        <f>IF(B31="","",5)</f>
        <v>5</v>
      </c>
      <c r="B31" s="197">
        <v>23</v>
      </c>
      <c r="C31" s="198">
        <f>IF(F31="","",3)</f>
        <v>3</v>
      </c>
      <c r="D31" s="199">
        <f t="shared" si="0"/>
        <v>20</v>
      </c>
      <c r="E31" s="200" t="str">
        <f t="shared" si="5"/>
        <v>アレ　フェンシング</v>
      </c>
      <c r="F31" s="201" t="str">
        <f t="shared" si="1"/>
        <v>古市　直大</v>
      </c>
      <c r="G31" s="202">
        <v>1</v>
      </c>
      <c r="H31" s="204" t="s">
        <v>199</v>
      </c>
      <c r="I31" s="203"/>
      <c r="J31" s="204" t="s">
        <v>209</v>
      </c>
      <c r="K31" s="204" t="s">
        <v>203</v>
      </c>
      <c r="L31" s="205">
        <v>1</v>
      </c>
      <c r="M31" s="206" t="str">
        <f>LEFT(G31,1)</f>
        <v>1</v>
      </c>
      <c r="N31" s="207" t="str">
        <f>LEFT(H31,1)</f>
        <v>v</v>
      </c>
      <c r="O31" s="207"/>
      <c r="P31" s="207" t="str">
        <f>LEFT(J31,1)</f>
        <v>v</v>
      </c>
      <c r="Q31" s="207" t="str">
        <f>LEFT(K31,1)</f>
        <v>v</v>
      </c>
      <c r="R31" s="208" t="str">
        <f t="shared" si="15"/>
        <v>1</v>
      </c>
      <c r="S31" s="206">
        <f>IF(ISERROR(VALUE(RIGHT(G31,1))),"",VALUE(RIGHT(G31,1)))</f>
        <v>1</v>
      </c>
      <c r="T31" s="207">
        <f>IF(ISERROR(VALUE(RIGHT(H31,1))),"",VALUE(RIGHT(H31,1)))</f>
        <v>5</v>
      </c>
      <c r="U31" s="207"/>
      <c r="V31" s="207">
        <f>IF(ISERROR(VALUE(RIGHT(J31,1))),"",VALUE(RIGHT(J31,1)))</f>
        <v>3</v>
      </c>
      <c r="W31" s="207">
        <f>IF(ISERROR(VALUE(RIGHT(K31,1))),"",VALUE(RIGHT(K31,1)))</f>
        <v>5</v>
      </c>
      <c r="X31" s="208">
        <f>IF(ISERROR(VALUE(RIGHT(L31,1))),"",VALUE(RIGHT(L31,1)))</f>
        <v>1</v>
      </c>
      <c r="Y31" s="209">
        <f t="shared" si="10"/>
        <v>20</v>
      </c>
      <c r="Z31" s="210">
        <f t="shared" si="2"/>
        <v>5</v>
      </c>
      <c r="AA31" s="211">
        <f t="shared" si="3"/>
        <v>3</v>
      </c>
      <c r="AB31" s="212">
        <f t="shared" si="4"/>
        <v>0.6</v>
      </c>
      <c r="AC31" s="213">
        <f t="shared" si="11"/>
        <v>15</v>
      </c>
      <c r="AD31" s="211">
        <f>IF(B31&gt;0,SUM(U29:U34),"")</f>
        <v>14</v>
      </c>
      <c r="AE31" s="199">
        <f t="shared" si="12"/>
        <v>1</v>
      </c>
      <c r="AF31" s="199">
        <f t="shared" si="18"/>
        <v>20</v>
      </c>
      <c r="AG31" s="242"/>
      <c r="AH31" s="245">
        <f t="shared" si="14"/>
        <v>60115127</v>
      </c>
      <c r="AM31" s="214">
        <f>IF(O29="V",IF(M31="D",0,1),IF(O29="D",IF(M31="V",0,1),1))</f>
        <v>1</v>
      </c>
      <c r="AN31" s="215">
        <f>IF(O30="V",IF(N31="D",0,1),IF(O30="D",IF(N31="V",0,1),1))</f>
        <v>1</v>
      </c>
      <c r="AO31" s="215"/>
      <c r="AP31" s="215">
        <f>IF(P31="V",IF(O32="D",0,1),IF(P31="D",IF(O32="V",0,1),1))</f>
        <v>1</v>
      </c>
      <c r="AQ31" s="215">
        <f>IF(Q31="V",IF(O33="D",0,1),IF(Q31="D",IF(O33="V",0,1),1))</f>
        <v>1</v>
      </c>
      <c r="AR31" s="216">
        <f>IF(R31="V",IF(O34="D",0,1),IF(R31="D",IF(O34="V",0,1),1))</f>
        <v>1</v>
      </c>
    </row>
    <row r="32" spans="1:44" ht="12" customHeight="1">
      <c r="A32" s="196">
        <f>IF(B32="","",5)</f>
        <v>5</v>
      </c>
      <c r="B32" s="197">
        <v>32</v>
      </c>
      <c r="C32" s="198">
        <f>IF(F32="","",4)</f>
        <v>4</v>
      </c>
      <c r="D32" s="199">
        <f t="shared" si="0"/>
        <v>30</v>
      </c>
      <c r="E32" s="200" t="str">
        <f t="shared" si="5"/>
        <v>愛工大付属</v>
      </c>
      <c r="F32" s="201" t="str">
        <f t="shared" si="1"/>
        <v>堀　智貴</v>
      </c>
      <c r="G32" s="202">
        <v>4</v>
      </c>
      <c r="H32" s="204" t="s">
        <v>199</v>
      </c>
      <c r="I32" s="204">
        <v>1</v>
      </c>
      <c r="J32" s="203"/>
      <c r="K32" s="204" t="s">
        <v>199</v>
      </c>
      <c r="L32" s="205">
        <v>1</v>
      </c>
      <c r="M32" s="206" t="str">
        <f>LEFT(G32,1)</f>
        <v>4</v>
      </c>
      <c r="N32" s="207" t="str">
        <f>LEFT(H32,1)</f>
        <v>v</v>
      </c>
      <c r="O32" s="207" t="str">
        <f>LEFT(I32,1)</f>
        <v>1</v>
      </c>
      <c r="P32" s="207"/>
      <c r="Q32" s="207" t="str">
        <f>LEFT(K32,1)</f>
        <v>v</v>
      </c>
      <c r="R32" s="208" t="str">
        <f t="shared" si="15"/>
        <v>1</v>
      </c>
      <c r="S32" s="206">
        <f>IF(ISERROR(VALUE(RIGHT(G32,1))),"",VALUE(RIGHT(G32,1)))</f>
        <v>4</v>
      </c>
      <c r="T32" s="207">
        <f>IF(ISERROR(VALUE(RIGHT(H32,1))),"",VALUE(RIGHT(H32,1)))</f>
        <v>5</v>
      </c>
      <c r="U32" s="207">
        <f>IF(ISERROR(VALUE(RIGHT(I32,1))),"",VALUE(RIGHT(I32,1)))</f>
        <v>1</v>
      </c>
      <c r="V32" s="207"/>
      <c r="W32" s="207">
        <f>IF(ISERROR(VALUE(RIGHT(K32,1))),"",VALUE(RIGHT(K32,1)))</f>
        <v>5</v>
      </c>
      <c r="X32" s="208">
        <f>IF(ISERROR(VALUE(RIGHT(L32,1))),"",VALUE(RIGHT(L32,1)))</f>
        <v>1</v>
      </c>
      <c r="Y32" s="209">
        <f t="shared" si="10"/>
        <v>30</v>
      </c>
      <c r="Z32" s="210">
        <f t="shared" si="2"/>
        <v>5</v>
      </c>
      <c r="AA32" s="211">
        <f t="shared" si="3"/>
        <v>2</v>
      </c>
      <c r="AB32" s="212">
        <f t="shared" si="4"/>
        <v>0.4</v>
      </c>
      <c r="AC32" s="213">
        <f t="shared" si="11"/>
        <v>16</v>
      </c>
      <c r="AD32" s="211">
        <f>IF(B32&gt;0,SUM(V29:V34),"")</f>
        <v>18</v>
      </c>
      <c r="AE32" s="199">
        <f t="shared" si="12"/>
        <v>-2</v>
      </c>
      <c r="AF32" s="199">
        <f t="shared" si="18"/>
        <v>30</v>
      </c>
      <c r="AG32" s="242"/>
      <c r="AH32" s="245">
        <f t="shared" si="14"/>
        <v>39816128</v>
      </c>
      <c r="AM32" s="214">
        <f>IF(P29="V",IF(M32="D",0,1),IF(P29="D",IF(M32="V",0,1),1))</f>
        <v>1</v>
      </c>
      <c r="AN32" s="215">
        <f>IF(P30="V",IF(N32="D",0,1),IF(P30="D",IF(N32="V",0,1),1))</f>
        <v>1</v>
      </c>
      <c r="AO32" s="215">
        <f>IF(P31="V",IF(O32="D",0,1),IF(P31="D",IF(O32="V",0,1),1))</f>
        <v>1</v>
      </c>
      <c r="AP32" s="215"/>
      <c r="AQ32" s="215">
        <f>IF(Q32="V",IF(P33="D",0,1),IF(Q32="D",IF(P33="V",0,1),1))</f>
        <v>1</v>
      </c>
      <c r="AR32" s="216">
        <f>IF(R32="V",IF(P34="D",0,1),IF(R32="D",IF(P34="V",0,1),1))</f>
        <v>1</v>
      </c>
    </row>
    <row r="33" spans="1:44" ht="12" customHeight="1">
      <c r="A33" s="196">
        <f>IF(B33="","",5)</f>
        <v>5</v>
      </c>
      <c r="B33" s="197">
        <v>41</v>
      </c>
      <c r="C33" s="198">
        <f>IF(F33="","",5)</f>
        <v>5</v>
      </c>
      <c r="D33" s="199">
        <f t="shared" si="0"/>
        <v>29</v>
      </c>
      <c r="E33" s="200" t="str">
        <f t="shared" si="5"/>
        <v>富山パレス</v>
      </c>
      <c r="F33" s="201" t="str">
        <f t="shared" si="1"/>
        <v>篠田　真吾</v>
      </c>
      <c r="G33" s="202" t="s">
        <v>199</v>
      </c>
      <c r="H33" s="204" t="s">
        <v>210</v>
      </c>
      <c r="I33" s="204">
        <v>2</v>
      </c>
      <c r="J33" s="204">
        <v>3</v>
      </c>
      <c r="K33" s="203"/>
      <c r="L33" s="205">
        <v>2</v>
      </c>
      <c r="M33" s="206" t="str">
        <f>LEFT(G33,1)</f>
        <v>v</v>
      </c>
      <c r="N33" s="207" t="str">
        <f>LEFT(H33,1)</f>
        <v>v</v>
      </c>
      <c r="O33" s="207" t="str">
        <f>LEFT(I33,1)</f>
        <v>2</v>
      </c>
      <c r="P33" s="207" t="str">
        <f>LEFT(J33,1)</f>
        <v>3</v>
      </c>
      <c r="Q33" s="207"/>
      <c r="R33" s="208" t="str">
        <f t="shared" si="15"/>
        <v>2</v>
      </c>
      <c r="S33" s="206">
        <f>IF(ISERROR(VALUE(RIGHT(G33,1))),"",VALUE(RIGHT(G33,1)))</f>
        <v>5</v>
      </c>
      <c r="T33" s="207">
        <f>IF(ISERROR(VALUE(RIGHT(H33,1))),"",VALUE(RIGHT(H33,1)))</f>
        <v>5</v>
      </c>
      <c r="U33" s="207">
        <f>IF(ISERROR(VALUE(RIGHT(I33,1))),"",VALUE(RIGHT(I33,1)))</f>
        <v>2</v>
      </c>
      <c r="V33" s="207">
        <f>IF(ISERROR(VALUE(RIGHT(J33,1))),"",VALUE(RIGHT(J33,1)))</f>
        <v>3</v>
      </c>
      <c r="W33" s="207"/>
      <c r="X33" s="208">
        <f>IF(ISERROR(VALUE(RIGHT(L33,1))),"",VALUE(RIGHT(L33,1)))</f>
        <v>2</v>
      </c>
      <c r="Y33" s="209">
        <f t="shared" si="10"/>
        <v>29</v>
      </c>
      <c r="Z33" s="210">
        <f t="shared" si="2"/>
        <v>5</v>
      </c>
      <c r="AA33" s="211">
        <f t="shared" si="3"/>
        <v>2</v>
      </c>
      <c r="AB33" s="212">
        <f t="shared" si="4"/>
        <v>0.4</v>
      </c>
      <c r="AC33" s="213">
        <f t="shared" si="11"/>
        <v>17</v>
      </c>
      <c r="AD33" s="211">
        <f>IF(B33&gt;0,SUM(W29:W34),"")</f>
        <v>19</v>
      </c>
      <c r="AE33" s="199">
        <f t="shared" si="12"/>
        <v>-2</v>
      </c>
      <c r="AF33" s="199">
        <f t="shared" si="18"/>
        <v>29</v>
      </c>
      <c r="AG33" s="242"/>
      <c r="AH33" s="245">
        <f t="shared" si="14"/>
        <v>39817129</v>
      </c>
      <c r="AM33" s="214">
        <f>IF(Q29="V",IF(M33="D",0,1),IF(Q29="D",IF(M33="V",0,1),1))</f>
        <v>1</v>
      </c>
      <c r="AN33" s="215">
        <f>IF(Q30="V",IF(N33="D",0,1),IF(Q30="D",IF(N33="V",0,1),1))</f>
        <v>1</v>
      </c>
      <c r="AO33" s="215">
        <f>IF(Q31="V",IF(O33="D",0,1),IF(Q31="D",IF(O33="V",0,1),1))</f>
        <v>1</v>
      </c>
      <c r="AP33" s="215">
        <f>IF(Q32="V",IF(P33="D",0,1),IF(Q32="D",IF(P33="V",0,1),1))</f>
        <v>1</v>
      </c>
      <c r="AQ33" s="215"/>
      <c r="AR33" s="216">
        <f>IF(R33="V",IF(Q34="D",0,1),IF(R33="D",IF(Q34="V",0,1),1))</f>
        <v>1</v>
      </c>
    </row>
    <row r="34" spans="1:44" ht="12" customHeight="1">
      <c r="A34" s="217">
        <f>IF(B34="","",5)</f>
        <v>5</v>
      </c>
      <c r="B34" s="218">
        <v>45</v>
      </c>
      <c r="C34" s="219">
        <f>IF(F34="","",6)</f>
        <v>6</v>
      </c>
      <c r="D34" s="220">
        <f t="shared" si="0"/>
        <v>5</v>
      </c>
      <c r="E34" s="221" t="str">
        <f t="shared" si="5"/>
        <v>大垣クラブ</v>
      </c>
      <c r="F34" s="222" t="str">
        <f t="shared" si="1"/>
        <v>國枝　契太</v>
      </c>
      <c r="G34" s="223" t="s">
        <v>199</v>
      </c>
      <c r="H34" s="224" t="s">
        <v>199</v>
      </c>
      <c r="I34" s="224" t="s">
        <v>211</v>
      </c>
      <c r="J34" s="224" t="s">
        <v>208</v>
      </c>
      <c r="K34" s="224" t="s">
        <v>203</v>
      </c>
      <c r="L34" s="225"/>
      <c r="M34" s="226" t="str">
        <f>LEFT(G34,1)</f>
        <v>v</v>
      </c>
      <c r="N34" s="227" t="str">
        <f>LEFT(H34,1)</f>
        <v>v</v>
      </c>
      <c r="O34" s="227" t="str">
        <f>LEFT(I34,1)</f>
        <v>v</v>
      </c>
      <c r="P34" s="227" t="str">
        <f>LEFT(J34,1)</f>
        <v>v</v>
      </c>
      <c r="Q34" s="227" t="str">
        <f>LEFT(K34,1)</f>
        <v>v</v>
      </c>
      <c r="R34" s="228" t="str">
        <f t="shared" si="15"/>
        <v/>
      </c>
      <c r="S34" s="226">
        <f>IF(ISERROR(VALUE(RIGHT(G34,1))),"",VALUE(RIGHT(G34,1)))</f>
        <v>5</v>
      </c>
      <c r="T34" s="227">
        <f>IF(ISERROR(VALUE(RIGHT(H34,1))),"",VALUE(RIGHT(H34,1)))</f>
        <v>5</v>
      </c>
      <c r="U34" s="227">
        <f>IF(ISERROR(VALUE(RIGHT(I34,1))),"",VALUE(RIGHT(I34,1)))</f>
        <v>3</v>
      </c>
      <c r="V34" s="227">
        <f>IF(ISERROR(VALUE(RIGHT(J34,1))),"",VALUE(RIGHT(J34,1)))</f>
        <v>3</v>
      </c>
      <c r="W34" s="227">
        <f>IF(ISERROR(VALUE(RIGHT(K34,1))),"",VALUE(RIGHT(K34,1)))</f>
        <v>5</v>
      </c>
      <c r="X34" s="228"/>
      <c r="Y34" s="229">
        <f t="shared" si="10"/>
        <v>5</v>
      </c>
      <c r="Z34" s="230">
        <f t="shared" si="2"/>
        <v>5</v>
      </c>
      <c r="AA34" s="231">
        <f t="shared" si="3"/>
        <v>5</v>
      </c>
      <c r="AB34" s="232">
        <f t="shared" si="4"/>
        <v>1</v>
      </c>
      <c r="AC34" s="233">
        <f t="shared" si="11"/>
        <v>21</v>
      </c>
      <c r="AD34" s="231">
        <f>IF(B34&gt;0,SUM(X29:X34),"")</f>
        <v>7</v>
      </c>
      <c r="AE34" s="234">
        <f t="shared" si="12"/>
        <v>14</v>
      </c>
      <c r="AF34" s="234">
        <f>IF(ISERROR(D34),"",D34)</f>
        <v>5</v>
      </c>
      <c r="AG34" s="243"/>
      <c r="AH34" s="246">
        <f t="shared" si="14"/>
        <v>101421165</v>
      </c>
      <c r="AM34" s="235">
        <f>IF(R29="V",IF(M34="D",0,1),IF(R29="D",IF(M34="V",0,1),1))</f>
        <v>1</v>
      </c>
      <c r="AN34" s="236">
        <f>IF(R30="V",IF(N34="D",0,1),IF(R30="D",IF(N34="V",0,1),1))</f>
        <v>1</v>
      </c>
      <c r="AO34" s="236">
        <f>IF(R31="V",IF(O34="D",0,1),IF(R31="D",IF(O34="V",0,1),1))</f>
        <v>1</v>
      </c>
      <c r="AP34" s="236">
        <f>IF(R32="V",IF(P34="D",0,1),IF(R32="D",IF(P34="V",0,1),1))</f>
        <v>1</v>
      </c>
      <c r="AQ34" s="236">
        <f>IF(R33="V",IF(Q34="D",0,1),IF(R33="D",IF(Q34="V",0,1),1))</f>
        <v>1</v>
      </c>
      <c r="AR34" s="237"/>
    </row>
    <row r="35" spans="1:44" ht="12" customHeight="1">
      <c r="A35" s="175">
        <v>6</v>
      </c>
      <c r="B35" s="176">
        <v>6</v>
      </c>
      <c r="C35" s="177">
        <f>IF(F35="","",1)</f>
        <v>1</v>
      </c>
      <c r="D35" s="178">
        <f t="shared" si="0"/>
        <v>25</v>
      </c>
      <c r="E35" s="179" t="str">
        <f t="shared" si="5"/>
        <v>愛工大付属</v>
      </c>
      <c r="F35" s="180" t="str">
        <f t="shared" si="1"/>
        <v>弓長　昇主</v>
      </c>
      <c r="G35" s="181"/>
      <c r="H35" s="182">
        <v>2</v>
      </c>
      <c r="I35" s="182" t="s">
        <v>199</v>
      </c>
      <c r="J35" s="182" t="s">
        <v>205</v>
      </c>
      <c r="K35" s="182">
        <v>4</v>
      </c>
      <c r="L35" s="183"/>
      <c r="M35" s="184"/>
      <c r="N35" s="185" t="str">
        <f>LEFT(H35,1)</f>
        <v>2</v>
      </c>
      <c r="O35" s="185" t="str">
        <f>LEFT(I35,1)</f>
        <v>v</v>
      </c>
      <c r="P35" s="185" t="str">
        <f>LEFT(J35,1)</f>
        <v>v</v>
      </c>
      <c r="Q35" s="185" t="str">
        <f>LEFT(K35,1)</f>
        <v>4</v>
      </c>
      <c r="R35" s="186" t="str">
        <f t="shared" si="15"/>
        <v/>
      </c>
      <c r="S35" s="184"/>
      <c r="T35" s="185">
        <f>IF(ISERROR(VALUE(RIGHT(H35,1))),"",VALUE(RIGHT(H35,1)))</f>
        <v>2</v>
      </c>
      <c r="U35" s="185">
        <f>IF(ISERROR(VALUE(RIGHT(I35,1))),"",VALUE(RIGHT(I35,1)))</f>
        <v>5</v>
      </c>
      <c r="V35" s="185">
        <f>IF(ISERROR(VALUE(RIGHT(J35,1))),"",VALUE(RIGHT(J35,1)))</f>
        <v>5</v>
      </c>
      <c r="W35" s="185">
        <f>IF(ISERROR(VALUE(RIGHT(K35,1))),"",VALUE(RIGHT(K35,1)))</f>
        <v>4</v>
      </c>
      <c r="X35" s="186" t="str">
        <f>IF(ISERROR(VALUE(RIGHT(L35,1))),"",VALUE(RIGHT(L35,1)))</f>
        <v/>
      </c>
      <c r="Y35" s="187">
        <f t="shared" si="10"/>
        <v>25</v>
      </c>
      <c r="Z35" s="188">
        <f t="shared" si="2"/>
        <v>4</v>
      </c>
      <c r="AA35" s="189">
        <f t="shared" si="3"/>
        <v>2</v>
      </c>
      <c r="AB35" s="190">
        <f t="shared" si="4"/>
        <v>0.5</v>
      </c>
      <c r="AC35" s="191">
        <f t="shared" si="11"/>
        <v>16</v>
      </c>
      <c r="AD35" s="189">
        <f>IF(B35&gt;0,SUM(S35:S40),"")</f>
        <v>14</v>
      </c>
      <c r="AE35" s="178">
        <f t="shared" si="12"/>
        <v>2</v>
      </c>
      <c r="AF35" s="178">
        <f>IF(ISERROR(D35),"",D35)</f>
        <v>25</v>
      </c>
      <c r="AG35" s="241"/>
      <c r="AH35" s="244">
        <f t="shared" si="14"/>
        <v>50216154</v>
      </c>
      <c r="AM35" s="193"/>
      <c r="AN35" s="194">
        <f>IF(N35="V",IF(M36="D",0,1),IF(N35="D",IF(M36="V",0,1),1))</f>
        <v>1</v>
      </c>
      <c r="AO35" s="194">
        <f>IF(O35="V",IF(M37="D",0,1),IF(O35="D",IF(M37="V",0,1),1))</f>
        <v>1</v>
      </c>
      <c r="AP35" s="194">
        <f>IF(P35="V",IF(M38="D",0,1),IF(P35="D",IF(M38="V",0,1),1))</f>
        <v>1</v>
      </c>
      <c r="AQ35" s="194">
        <f>IF(Q35="V",IF(M39="D",0,1),IF(Q35="D",IF(M39="V",0,1),1))</f>
        <v>1</v>
      </c>
      <c r="AR35" s="195">
        <f>IF(R35="V",IF(M40="D",0,1),IF(R35="D",IF(M40="V",0,1),1))</f>
        <v>1</v>
      </c>
    </row>
    <row r="36" spans="1:44" ht="12" customHeight="1">
      <c r="A36" s="196">
        <f>IF(B36="","",6)</f>
        <v>6</v>
      </c>
      <c r="B36" s="197">
        <v>16</v>
      </c>
      <c r="C36" s="198">
        <f>IF(F36="","",2)</f>
        <v>2</v>
      </c>
      <c r="D36" s="199">
        <f t="shared" si="0"/>
        <v>8</v>
      </c>
      <c r="E36" s="200" t="str">
        <f t="shared" si="5"/>
        <v>速星中学校</v>
      </c>
      <c r="F36" s="201" t="str">
        <f t="shared" si="1"/>
        <v>石川　凌</v>
      </c>
      <c r="G36" s="202" t="s">
        <v>199</v>
      </c>
      <c r="H36" s="203"/>
      <c r="I36" s="204" t="s">
        <v>205</v>
      </c>
      <c r="J36" s="204" t="s">
        <v>199</v>
      </c>
      <c r="K36" s="204" t="s">
        <v>206</v>
      </c>
      <c r="L36" s="205"/>
      <c r="M36" s="206" t="str">
        <f>LEFT(G36,1)</f>
        <v>v</v>
      </c>
      <c r="N36" s="207"/>
      <c r="O36" s="207" t="str">
        <f>LEFT(I36,1)</f>
        <v>v</v>
      </c>
      <c r="P36" s="207" t="str">
        <f>LEFT(J36,1)</f>
        <v>v</v>
      </c>
      <c r="Q36" s="207" t="str">
        <f>LEFT(K36,1)</f>
        <v>v</v>
      </c>
      <c r="R36" s="208" t="str">
        <f t="shared" si="15"/>
        <v/>
      </c>
      <c r="S36" s="206">
        <f>IF(ISERROR(VALUE(RIGHT(G36,1))),"",VALUE(RIGHT(G36,1)))</f>
        <v>5</v>
      </c>
      <c r="T36" s="207"/>
      <c r="U36" s="207">
        <f>IF(ISERROR(VALUE(RIGHT(I36,1))),"",VALUE(RIGHT(I36,1)))</f>
        <v>5</v>
      </c>
      <c r="V36" s="207">
        <f>IF(ISERROR(VALUE(RIGHT(J36,1))),"",VALUE(RIGHT(J36,1)))</f>
        <v>5</v>
      </c>
      <c r="W36" s="207">
        <f>IF(ISERROR(VALUE(RIGHT(K36,1))),"",VALUE(RIGHT(K36,1)))</f>
        <v>5</v>
      </c>
      <c r="X36" s="208" t="str">
        <f>IF(ISERROR(VALUE(RIGHT(L36,1))),"",VALUE(RIGHT(L36,1)))</f>
        <v/>
      </c>
      <c r="Y36" s="209">
        <f t="shared" si="10"/>
        <v>8</v>
      </c>
      <c r="Z36" s="210">
        <f t="shared" si="2"/>
        <v>4</v>
      </c>
      <c r="AA36" s="211">
        <f t="shared" si="3"/>
        <v>4</v>
      </c>
      <c r="AB36" s="212">
        <f t="shared" si="4"/>
        <v>1</v>
      </c>
      <c r="AC36" s="213">
        <f t="shared" si="11"/>
        <v>20</v>
      </c>
      <c r="AD36" s="211">
        <f>IF(B36&gt;0,SUM(T35:T40),"")</f>
        <v>7</v>
      </c>
      <c r="AE36" s="199">
        <f t="shared" si="12"/>
        <v>13</v>
      </c>
      <c r="AF36" s="199">
        <f t="shared" ref="AF36:AF39" si="19">IF(ISERROR(D36),"",D36)</f>
        <v>8</v>
      </c>
      <c r="AG36" s="242"/>
      <c r="AH36" s="245">
        <f t="shared" si="14"/>
        <v>101320184</v>
      </c>
      <c r="AM36" s="214">
        <f>IF(N35="V",IF(M36="D",0,1),IF(N35="D",IF(M36="V",0,1),1))</f>
        <v>1</v>
      </c>
      <c r="AN36" s="215"/>
      <c r="AO36" s="215">
        <f>IF(O36="V",IF(N37="D",0,1),IF(O36="D",IF(N37="V",0,1),1))</f>
        <v>1</v>
      </c>
      <c r="AP36" s="215">
        <f>IF(P36="V",IF(N38="D",0,1),IF(P36="D",IF(N38="V",0,1),1))</f>
        <v>1</v>
      </c>
      <c r="AQ36" s="215">
        <f>IF(Q36="V",IF(N39="D",0,1),IF(Q36="D",IF(N39="V",0,1),1))</f>
        <v>1</v>
      </c>
      <c r="AR36" s="216">
        <f>IF(R36="V",IF(N40="D",0,1),IF(R36="D",IF(N40="V",0,1),1))</f>
        <v>1</v>
      </c>
    </row>
    <row r="37" spans="1:44" ht="12" customHeight="1">
      <c r="A37" s="196">
        <f>IF(B37="","",6)</f>
        <v>6</v>
      </c>
      <c r="B37" s="197">
        <v>24</v>
      </c>
      <c r="C37" s="198">
        <f>IF(F37="","",3)</f>
        <v>3</v>
      </c>
      <c r="D37" s="199">
        <f t="shared" ref="D37:D68" si="20">IF(B37&gt;0,RANK(AH37,$AH$5:$AH$100,0),"")</f>
        <v>42</v>
      </c>
      <c r="E37" s="200" t="str">
        <f t="shared" ref="E37:E68" si="21">IF(ISERROR(VLOOKUP(B37,名簿,2,FALSE)),"",VLOOKUP(B37,名簿,2,FALSE))</f>
        <v>武生二中</v>
      </c>
      <c r="F37" s="201" t="str">
        <f t="shared" ref="F37:F68" si="22">IF(ISERROR(VLOOKUP(B37,名簿,3,FALSE)),"",VLOOKUP(B37,名簿,3,FALSE))</f>
        <v>坂下　快斗</v>
      </c>
      <c r="G37" s="202">
        <v>3</v>
      </c>
      <c r="H37" s="204">
        <v>2</v>
      </c>
      <c r="I37" s="203"/>
      <c r="J37" s="204">
        <v>3</v>
      </c>
      <c r="K37" s="204">
        <v>1</v>
      </c>
      <c r="L37" s="205"/>
      <c r="M37" s="206" t="str">
        <f>LEFT(G37,1)</f>
        <v>3</v>
      </c>
      <c r="N37" s="207" t="str">
        <f>LEFT(H37,1)</f>
        <v>2</v>
      </c>
      <c r="O37" s="207"/>
      <c r="P37" s="207" t="str">
        <f>LEFT(J37,1)</f>
        <v>3</v>
      </c>
      <c r="Q37" s="207" t="str">
        <f>LEFT(K37,1)</f>
        <v>1</v>
      </c>
      <c r="R37" s="208" t="str">
        <f t="shared" si="15"/>
        <v/>
      </c>
      <c r="S37" s="206">
        <f>IF(ISERROR(VALUE(RIGHT(G37,1))),"",VALUE(RIGHT(G37,1)))</f>
        <v>3</v>
      </c>
      <c r="T37" s="207">
        <f>IF(ISERROR(VALUE(RIGHT(H37,1))),"",VALUE(RIGHT(H37,1)))</f>
        <v>2</v>
      </c>
      <c r="U37" s="207"/>
      <c r="V37" s="207">
        <f>IF(ISERROR(VALUE(RIGHT(J37,1))),"",VALUE(RIGHT(J37,1)))</f>
        <v>3</v>
      </c>
      <c r="W37" s="207">
        <f>IF(ISERROR(VALUE(RIGHT(K37,1))),"",VALUE(RIGHT(K37,1)))</f>
        <v>1</v>
      </c>
      <c r="X37" s="208" t="str">
        <f>IF(ISERROR(VALUE(RIGHT(L37,1))),"",VALUE(RIGHT(L37,1)))</f>
        <v/>
      </c>
      <c r="Y37" s="209">
        <f t="shared" si="10"/>
        <v>42</v>
      </c>
      <c r="Z37" s="210">
        <f t="shared" ref="Z37:Z68" si="23">IF(B37&gt;0,COUNTA(G37:L37),"")</f>
        <v>4</v>
      </c>
      <c r="AA37" s="211">
        <f t="shared" ref="AA37:AA68" si="24">IF(B37&gt;0,COUNTIF(M37:R37,"V"),"")</f>
        <v>0</v>
      </c>
      <c r="AB37" s="212">
        <f t="shared" ref="AB37:AB68" si="25">IF(ISERROR(ROUND(AA37/Z37,3)),"",ROUND(AA37/Z37,3))</f>
        <v>0</v>
      </c>
      <c r="AC37" s="213">
        <f t="shared" ref="AC37:AC68" si="26">IF(B37&gt;0,SUM(S37:X37),"")</f>
        <v>9</v>
      </c>
      <c r="AD37" s="211">
        <f>IF(B37&gt;0,SUM(U35:U40),"")</f>
        <v>20</v>
      </c>
      <c r="AE37" s="199">
        <f t="shared" si="12"/>
        <v>-11</v>
      </c>
      <c r="AF37" s="199">
        <f t="shared" si="19"/>
        <v>42</v>
      </c>
      <c r="AG37" s="242"/>
      <c r="AH37" s="245">
        <f t="shared" si="14"/>
        <v>-1090934</v>
      </c>
      <c r="AM37" s="214">
        <f>IF(O35="V",IF(M37="D",0,1),IF(O35="D",IF(M37="V",0,1),1))</f>
        <v>1</v>
      </c>
      <c r="AN37" s="215">
        <f>IF(O36="V",IF(N37="D",0,1),IF(O36="D",IF(N37="V",0,1),1))</f>
        <v>1</v>
      </c>
      <c r="AO37" s="215"/>
      <c r="AP37" s="215">
        <f>IF(P37="V",IF(O38="D",0,1),IF(P37="D",IF(O38="V",0,1),1))</f>
        <v>1</v>
      </c>
      <c r="AQ37" s="215">
        <f>IF(Q37="V",IF(O39="D",0,1),IF(Q37="D",IF(O39="V",0,1),1))</f>
        <v>1</v>
      </c>
      <c r="AR37" s="216">
        <f>IF(R37="V",IF(O40="D",0,1),IF(R37="D",IF(O40="V",0,1),1))</f>
        <v>1</v>
      </c>
    </row>
    <row r="38" spans="1:44" ht="12" customHeight="1">
      <c r="A38" s="196">
        <f>IF(B38="","",6)</f>
        <v>6</v>
      </c>
      <c r="B38" s="197">
        <v>20</v>
      </c>
      <c r="C38" s="198">
        <f>IF(F38="","",4)</f>
        <v>4</v>
      </c>
      <c r="D38" s="199">
        <f t="shared" si="20"/>
        <v>35</v>
      </c>
      <c r="E38" s="200" t="str">
        <f t="shared" si="21"/>
        <v>速星中学校</v>
      </c>
      <c r="F38" s="201" t="str">
        <f t="shared" si="22"/>
        <v>山岸　凜生</v>
      </c>
      <c r="G38" s="202">
        <v>1</v>
      </c>
      <c r="H38" s="204">
        <v>1</v>
      </c>
      <c r="I38" s="204" t="s">
        <v>199</v>
      </c>
      <c r="J38" s="203"/>
      <c r="K38" s="204">
        <v>1</v>
      </c>
      <c r="L38" s="205"/>
      <c r="M38" s="206" t="str">
        <f>LEFT(G38,1)</f>
        <v>1</v>
      </c>
      <c r="N38" s="207" t="str">
        <f>LEFT(H38,1)</f>
        <v>1</v>
      </c>
      <c r="O38" s="207" t="str">
        <f>LEFT(I38,1)</f>
        <v>v</v>
      </c>
      <c r="P38" s="207"/>
      <c r="Q38" s="207" t="str">
        <f>LEFT(K38,1)</f>
        <v>1</v>
      </c>
      <c r="R38" s="208" t="str">
        <f t="shared" si="15"/>
        <v/>
      </c>
      <c r="S38" s="206">
        <f>IF(ISERROR(VALUE(RIGHT(G38,1))),"",VALUE(RIGHT(G38,1)))</f>
        <v>1</v>
      </c>
      <c r="T38" s="207">
        <f>IF(ISERROR(VALUE(RIGHT(H38,1))),"",VALUE(RIGHT(H38,1)))</f>
        <v>1</v>
      </c>
      <c r="U38" s="207">
        <f>IF(ISERROR(VALUE(RIGHT(I38,1))),"",VALUE(RIGHT(I38,1)))</f>
        <v>5</v>
      </c>
      <c r="V38" s="207"/>
      <c r="W38" s="207">
        <f>IF(ISERROR(VALUE(RIGHT(K38,1))),"",VALUE(RIGHT(K38,1)))</f>
        <v>1</v>
      </c>
      <c r="X38" s="208" t="str">
        <f>IF(ISERROR(VALUE(RIGHT(L38,1))),"",VALUE(RIGHT(L38,1)))</f>
        <v/>
      </c>
      <c r="Y38" s="209">
        <f t="shared" si="10"/>
        <v>35</v>
      </c>
      <c r="Z38" s="210">
        <f t="shared" si="23"/>
        <v>4</v>
      </c>
      <c r="AA38" s="211">
        <f t="shared" si="24"/>
        <v>1</v>
      </c>
      <c r="AB38" s="212">
        <f t="shared" si="25"/>
        <v>0.25</v>
      </c>
      <c r="AC38" s="213">
        <f t="shared" si="26"/>
        <v>8</v>
      </c>
      <c r="AD38" s="211">
        <f>IF(B38&gt;0,SUM(V35:V40),"")</f>
        <v>18</v>
      </c>
      <c r="AE38" s="199">
        <f t="shared" si="12"/>
        <v>-10</v>
      </c>
      <c r="AF38" s="199">
        <f t="shared" si="19"/>
        <v>35</v>
      </c>
      <c r="AG38" s="242"/>
      <c r="AH38" s="245">
        <f t="shared" si="14"/>
        <v>24008060</v>
      </c>
      <c r="AM38" s="214">
        <f>IF(P35="V",IF(M38="D",0,1),IF(P35="D",IF(M38="V",0,1),1))</f>
        <v>1</v>
      </c>
      <c r="AN38" s="215">
        <f>IF(P36="V",IF(N38="D",0,1),IF(P36="D",IF(N38="V",0,1),1))</f>
        <v>1</v>
      </c>
      <c r="AO38" s="215">
        <f>IF(P37="V",IF(O38="D",0,1),IF(P37="D",IF(O38="V",0,1),1))</f>
        <v>1</v>
      </c>
      <c r="AP38" s="215"/>
      <c r="AQ38" s="215">
        <f>IF(Q38="V",IF(P39="D",0,1),IF(Q38="D",IF(P39="V",0,1),1))</f>
        <v>1</v>
      </c>
      <c r="AR38" s="216">
        <f>IF(R38="V",IF(P40="D",0,1),IF(R38="D",IF(P40="V",0,1),1))</f>
        <v>1</v>
      </c>
    </row>
    <row r="39" spans="1:44" ht="12" customHeight="1">
      <c r="A39" s="196">
        <f>IF(B39="","",6)</f>
        <v>6</v>
      </c>
      <c r="B39" s="197">
        <v>46</v>
      </c>
      <c r="C39" s="198">
        <f>IF(F39="","",5)</f>
        <v>5</v>
      </c>
      <c r="D39" s="199">
        <f t="shared" si="20"/>
        <v>17</v>
      </c>
      <c r="E39" s="200" t="str">
        <f t="shared" si="21"/>
        <v>はしまモア</v>
      </c>
      <c r="F39" s="201" t="str">
        <f t="shared" si="22"/>
        <v>石橋　廉大</v>
      </c>
      <c r="G39" s="202" t="s">
        <v>199</v>
      </c>
      <c r="H39" s="204">
        <v>2</v>
      </c>
      <c r="I39" s="204" t="s">
        <v>199</v>
      </c>
      <c r="J39" s="204" t="s">
        <v>199</v>
      </c>
      <c r="K39" s="203"/>
      <c r="L39" s="205"/>
      <c r="M39" s="206" t="str">
        <f>LEFT(G39,1)</f>
        <v>v</v>
      </c>
      <c r="N39" s="207" t="str">
        <f>LEFT(H39,1)</f>
        <v>2</v>
      </c>
      <c r="O39" s="207" t="str">
        <f>LEFT(I39,1)</f>
        <v>v</v>
      </c>
      <c r="P39" s="207" t="str">
        <f>LEFT(J39,1)</f>
        <v>v</v>
      </c>
      <c r="Q39" s="207"/>
      <c r="R39" s="208" t="str">
        <f t="shared" si="15"/>
        <v/>
      </c>
      <c r="S39" s="206">
        <f>IF(ISERROR(VALUE(RIGHT(G39,1))),"",VALUE(RIGHT(G39,1)))</f>
        <v>5</v>
      </c>
      <c r="T39" s="207">
        <f>IF(ISERROR(VALUE(RIGHT(H39,1))),"",VALUE(RIGHT(H39,1)))</f>
        <v>2</v>
      </c>
      <c r="U39" s="207">
        <f>IF(ISERROR(VALUE(RIGHT(I39,1))),"",VALUE(RIGHT(I39,1)))</f>
        <v>5</v>
      </c>
      <c r="V39" s="207">
        <f>IF(ISERROR(VALUE(RIGHT(J39,1))),"",VALUE(RIGHT(J39,1)))</f>
        <v>5</v>
      </c>
      <c r="W39" s="207"/>
      <c r="X39" s="208" t="str">
        <f>IF(ISERROR(VALUE(RIGHT(L39,1))),"",VALUE(RIGHT(L39,1)))</f>
        <v/>
      </c>
      <c r="Y39" s="209">
        <f t="shared" si="10"/>
        <v>17</v>
      </c>
      <c r="Z39" s="210">
        <f t="shared" si="23"/>
        <v>4</v>
      </c>
      <c r="AA39" s="211">
        <f t="shared" si="24"/>
        <v>3</v>
      </c>
      <c r="AB39" s="212">
        <f t="shared" si="25"/>
        <v>0.75</v>
      </c>
      <c r="AC39" s="213">
        <f t="shared" si="26"/>
        <v>17</v>
      </c>
      <c r="AD39" s="211">
        <f>IF(B39&gt;0,SUM(W35:W40),"")</f>
        <v>11</v>
      </c>
      <c r="AE39" s="199">
        <f t="shared" si="12"/>
        <v>6</v>
      </c>
      <c r="AF39" s="199">
        <f t="shared" si="19"/>
        <v>17</v>
      </c>
      <c r="AG39" s="242"/>
      <c r="AH39" s="245">
        <f t="shared" si="14"/>
        <v>75617124</v>
      </c>
      <c r="AM39" s="214">
        <f>IF(Q35="V",IF(M39="D",0,1),IF(Q35="D",IF(M39="V",0,1),1))</f>
        <v>1</v>
      </c>
      <c r="AN39" s="215">
        <f>IF(Q36="V",IF(N39="D",0,1),IF(Q36="D",IF(N39="V",0,1),1))</f>
        <v>1</v>
      </c>
      <c r="AO39" s="215">
        <f>IF(Q37="V",IF(O39="D",0,1),IF(Q37="D",IF(O39="V",0,1),1))</f>
        <v>1</v>
      </c>
      <c r="AP39" s="215">
        <f>IF(Q38="V",IF(P39="D",0,1),IF(Q38="D",IF(P39="V",0,1),1))</f>
        <v>1</v>
      </c>
      <c r="AQ39" s="215"/>
      <c r="AR39" s="216">
        <f>IF(R39="V",IF(Q40="D",0,1),IF(R39="D",IF(Q40="V",0,1),1))</f>
        <v>1</v>
      </c>
    </row>
    <row r="40" spans="1:44" ht="12" customHeight="1">
      <c r="A40" s="217" t="str">
        <f>IF(B40="","",6)</f>
        <v/>
      </c>
      <c r="B40" s="218"/>
      <c r="C40" s="219" t="str">
        <f>IF(F40="","",6)</f>
        <v/>
      </c>
      <c r="D40" s="220" t="str">
        <f t="shared" si="20"/>
        <v/>
      </c>
      <c r="E40" s="221" t="str">
        <f t="shared" si="21"/>
        <v/>
      </c>
      <c r="F40" s="222" t="str">
        <f t="shared" si="22"/>
        <v/>
      </c>
      <c r="G40" s="223"/>
      <c r="H40" s="224"/>
      <c r="I40" s="224"/>
      <c r="J40" s="224"/>
      <c r="K40" s="224"/>
      <c r="L40" s="225"/>
      <c r="M40" s="226" t="str">
        <f>LEFT(G40,1)</f>
        <v/>
      </c>
      <c r="N40" s="227" t="str">
        <f>LEFT(H40,1)</f>
        <v/>
      </c>
      <c r="O40" s="227" t="str">
        <f>LEFT(I40,1)</f>
        <v/>
      </c>
      <c r="P40" s="227" t="str">
        <f>LEFT(J40,1)</f>
        <v/>
      </c>
      <c r="Q40" s="227" t="str">
        <f>LEFT(K40,1)</f>
        <v/>
      </c>
      <c r="R40" s="228" t="str">
        <f t="shared" si="15"/>
        <v/>
      </c>
      <c r="S40" s="226" t="str">
        <f>IF(ISERROR(VALUE(RIGHT(G40,1))),"",VALUE(RIGHT(G40,1)))</f>
        <v/>
      </c>
      <c r="T40" s="227" t="str">
        <f>IF(ISERROR(VALUE(RIGHT(H40,1))),"",VALUE(RIGHT(H40,1)))</f>
        <v/>
      </c>
      <c r="U40" s="227" t="str">
        <f>IF(ISERROR(VALUE(RIGHT(I40,1))),"",VALUE(RIGHT(I40,1)))</f>
        <v/>
      </c>
      <c r="V40" s="227" t="str">
        <f>IF(ISERROR(VALUE(RIGHT(J40,1))),"",VALUE(RIGHT(J40,1)))</f>
        <v/>
      </c>
      <c r="W40" s="227" t="str">
        <f>IF(ISERROR(VALUE(RIGHT(K40,1))),"",VALUE(RIGHT(K40,1)))</f>
        <v/>
      </c>
      <c r="X40" s="228"/>
      <c r="Y40" s="229" t="str">
        <f t="shared" si="10"/>
        <v/>
      </c>
      <c r="Z40" s="230" t="str">
        <f t="shared" si="23"/>
        <v/>
      </c>
      <c r="AA40" s="231" t="str">
        <f t="shared" si="24"/>
        <v/>
      </c>
      <c r="AB40" s="232" t="str">
        <f t="shared" si="25"/>
        <v/>
      </c>
      <c r="AC40" s="233" t="str">
        <f t="shared" si="26"/>
        <v/>
      </c>
      <c r="AD40" s="231" t="str">
        <f>IF(B40&gt;0,SUM(X35:X40),"")</f>
        <v/>
      </c>
      <c r="AE40" s="234" t="str">
        <f t="shared" si="12"/>
        <v/>
      </c>
      <c r="AF40" s="234" t="str">
        <f>IF(ISERROR(D40),"",D40)</f>
        <v/>
      </c>
      <c r="AG40" s="243"/>
      <c r="AH40" s="246" t="str">
        <f t="shared" si="14"/>
        <v/>
      </c>
      <c r="AM40" s="235">
        <f>IF(R35="V",IF(M40="D",0,1),IF(R35="D",IF(M40="V",0,1),1))</f>
        <v>1</v>
      </c>
      <c r="AN40" s="236">
        <f>IF(R36="V",IF(N40="D",0,1),IF(R36="D",IF(N40="V",0,1),1))</f>
        <v>1</v>
      </c>
      <c r="AO40" s="236">
        <f>IF(R37="V",IF(O40="D",0,1),IF(R37="D",IF(O40="V",0,1),1))</f>
        <v>1</v>
      </c>
      <c r="AP40" s="236">
        <f>IF(R38="V",IF(P40="D",0,1),IF(R38="D",IF(P40="V",0,1),1))</f>
        <v>1</v>
      </c>
      <c r="AQ40" s="236">
        <f>IF(R39="V",IF(Q40="D",0,1),IF(R39="D",IF(Q40="V",0,1),1))</f>
        <v>1</v>
      </c>
      <c r="AR40" s="237"/>
    </row>
    <row r="41" spans="1:44" ht="12" customHeight="1">
      <c r="A41" s="175">
        <v>7</v>
      </c>
      <c r="B41" s="176">
        <v>7</v>
      </c>
      <c r="C41" s="177">
        <f>IF(F41="","",1)</f>
        <v>1</v>
      </c>
      <c r="D41" s="178">
        <f t="shared" si="20"/>
        <v>7</v>
      </c>
      <c r="E41" s="179" t="str">
        <f t="shared" si="21"/>
        <v>光が丘フェンシング</v>
      </c>
      <c r="F41" s="180" t="str">
        <f t="shared" si="22"/>
        <v>黒澤　塁</v>
      </c>
      <c r="G41" s="181"/>
      <c r="H41" s="182" t="s">
        <v>199</v>
      </c>
      <c r="I41" s="182" t="s">
        <v>199</v>
      </c>
      <c r="J41" s="182" t="s">
        <v>199</v>
      </c>
      <c r="K41" s="182" t="s">
        <v>199</v>
      </c>
      <c r="L41" s="183"/>
      <c r="M41" s="184"/>
      <c r="N41" s="185" t="str">
        <f>LEFT(H41,1)</f>
        <v>v</v>
      </c>
      <c r="O41" s="185" t="str">
        <f>LEFT(I41,1)</f>
        <v>v</v>
      </c>
      <c r="P41" s="185" t="str">
        <f>LEFT(J41,1)</f>
        <v>v</v>
      </c>
      <c r="Q41" s="185" t="str">
        <f>LEFT(K41,1)</f>
        <v>v</v>
      </c>
      <c r="R41" s="186" t="str">
        <f t="shared" si="15"/>
        <v/>
      </c>
      <c r="S41" s="184"/>
      <c r="T41" s="185">
        <f>IF(ISERROR(VALUE(RIGHT(H41,1))),"",VALUE(RIGHT(H41,1)))</f>
        <v>5</v>
      </c>
      <c r="U41" s="185">
        <f>IF(ISERROR(VALUE(RIGHT(I41,1))),"",VALUE(RIGHT(I41,1)))</f>
        <v>5</v>
      </c>
      <c r="V41" s="185">
        <f>IF(ISERROR(VALUE(RIGHT(J41,1))),"",VALUE(RIGHT(J41,1)))</f>
        <v>5</v>
      </c>
      <c r="W41" s="185">
        <f>IF(ISERROR(VALUE(RIGHT(K41,1))),"",VALUE(RIGHT(K41,1)))</f>
        <v>5</v>
      </c>
      <c r="X41" s="186" t="str">
        <f>IF(ISERROR(VALUE(RIGHT(L41,1))),"",VALUE(RIGHT(L41,1)))</f>
        <v/>
      </c>
      <c r="Y41" s="187">
        <f t="shared" si="10"/>
        <v>7</v>
      </c>
      <c r="Z41" s="188">
        <f t="shared" si="23"/>
        <v>4</v>
      </c>
      <c r="AA41" s="189">
        <f t="shared" si="24"/>
        <v>4</v>
      </c>
      <c r="AB41" s="190">
        <f t="shared" si="25"/>
        <v>1</v>
      </c>
      <c r="AC41" s="191">
        <f t="shared" si="26"/>
        <v>20</v>
      </c>
      <c r="AD41" s="189">
        <f>IF(B41&gt;0,SUM(S41:S46),"")</f>
        <v>6</v>
      </c>
      <c r="AE41" s="178">
        <f t="shared" si="12"/>
        <v>14</v>
      </c>
      <c r="AF41" s="178">
        <f>IF(ISERROR(D41),"",D41)</f>
        <v>7</v>
      </c>
      <c r="AG41" s="241"/>
      <c r="AH41" s="244">
        <f t="shared" si="14"/>
        <v>101420193</v>
      </c>
      <c r="AM41" s="193"/>
      <c r="AN41" s="194">
        <f>IF(N41="V",IF(M42="D",0,1),IF(N41="D",IF(M42="V",0,1),1))</f>
        <v>1</v>
      </c>
      <c r="AO41" s="194">
        <f>IF(O41="V",IF(M43="D",0,1),IF(O41="D",IF(M43="V",0,1),1))</f>
        <v>1</v>
      </c>
      <c r="AP41" s="194">
        <f>IF(P41="V",IF(M44="D",0,1),IF(P41="D",IF(M44="V",0,1),1))</f>
        <v>1</v>
      </c>
      <c r="AQ41" s="194">
        <f>IF(Q41="V",IF(M45="D",0,1),IF(Q41="D",IF(M45="V",0,1),1))</f>
        <v>1</v>
      </c>
      <c r="AR41" s="195">
        <f>IF(R41="V",IF(M46="D",0,1),IF(R41="D",IF(M46="V",0,1),1))</f>
        <v>1</v>
      </c>
    </row>
    <row r="42" spans="1:44" ht="12" customHeight="1">
      <c r="A42" s="196">
        <f>IF(B42="","",7)</f>
        <v>7</v>
      </c>
      <c r="B42" s="197">
        <v>12</v>
      </c>
      <c r="C42" s="198">
        <f>IF(F42="","",2)</f>
        <v>2</v>
      </c>
      <c r="D42" s="199">
        <f t="shared" si="20"/>
        <v>14</v>
      </c>
      <c r="E42" s="200" t="str">
        <f t="shared" si="21"/>
        <v>長野ジュニア</v>
      </c>
      <c r="F42" s="201" t="str">
        <f t="shared" si="22"/>
        <v>杉岡　瑞基</v>
      </c>
      <c r="G42" s="202">
        <v>3</v>
      </c>
      <c r="H42" s="203"/>
      <c r="I42" s="204" t="s">
        <v>199</v>
      </c>
      <c r="J42" s="204" t="s">
        <v>199</v>
      </c>
      <c r="K42" s="204" t="s">
        <v>205</v>
      </c>
      <c r="L42" s="205"/>
      <c r="M42" s="206" t="str">
        <f>LEFT(G42,1)</f>
        <v>3</v>
      </c>
      <c r="N42" s="207"/>
      <c r="O42" s="207" t="str">
        <f>LEFT(I42,1)</f>
        <v>v</v>
      </c>
      <c r="P42" s="207" t="str">
        <f>LEFT(J42,1)</f>
        <v>v</v>
      </c>
      <c r="Q42" s="207" t="str">
        <f>LEFT(K42,1)</f>
        <v>v</v>
      </c>
      <c r="R42" s="208" t="str">
        <f t="shared" si="15"/>
        <v/>
      </c>
      <c r="S42" s="206">
        <f>IF(ISERROR(VALUE(RIGHT(G42,1))),"",VALUE(RIGHT(G42,1)))</f>
        <v>3</v>
      </c>
      <c r="T42" s="207"/>
      <c r="U42" s="207">
        <f>IF(ISERROR(VALUE(RIGHT(I42,1))),"",VALUE(RIGHT(I42,1)))</f>
        <v>5</v>
      </c>
      <c r="V42" s="207">
        <f>IF(ISERROR(VALUE(RIGHT(J42,1))),"",VALUE(RIGHT(J42,1)))</f>
        <v>5</v>
      </c>
      <c r="W42" s="207">
        <f>IF(ISERROR(VALUE(RIGHT(K42,1))),"",VALUE(RIGHT(K42,1)))</f>
        <v>5</v>
      </c>
      <c r="X42" s="208" t="str">
        <f>IF(ISERROR(VALUE(RIGHT(L42,1))),"",VALUE(RIGHT(L42,1)))</f>
        <v/>
      </c>
      <c r="Y42" s="209">
        <f t="shared" si="10"/>
        <v>14</v>
      </c>
      <c r="Z42" s="210">
        <f t="shared" si="23"/>
        <v>4</v>
      </c>
      <c r="AA42" s="211">
        <f t="shared" si="24"/>
        <v>3</v>
      </c>
      <c r="AB42" s="212">
        <f t="shared" si="25"/>
        <v>0.75</v>
      </c>
      <c r="AC42" s="213">
        <f t="shared" si="26"/>
        <v>18</v>
      </c>
      <c r="AD42" s="211">
        <f>IF(B42&gt;0,SUM(T41:T46),"")</f>
        <v>8</v>
      </c>
      <c r="AE42" s="199">
        <f t="shared" si="12"/>
        <v>10</v>
      </c>
      <c r="AF42" s="199">
        <f t="shared" ref="AF42:AF45" si="27">IF(ISERROR(D42),"",D42)</f>
        <v>14</v>
      </c>
      <c r="AG42" s="242"/>
      <c r="AH42" s="245">
        <f t="shared" si="14"/>
        <v>76018168</v>
      </c>
      <c r="AM42" s="214">
        <f>IF(N41="V",IF(M42="D",0,1),IF(N41="D",IF(M42="V",0,1),1))</f>
        <v>1</v>
      </c>
      <c r="AN42" s="215"/>
      <c r="AO42" s="215">
        <f>IF(O42="V",IF(N43="D",0,1),IF(O42="D",IF(N43="V",0,1),1))</f>
        <v>1</v>
      </c>
      <c r="AP42" s="215">
        <f>IF(P42="V",IF(N44="D",0,1),IF(P42="D",IF(N44="V",0,1),1))</f>
        <v>1</v>
      </c>
      <c r="AQ42" s="215">
        <f>IF(Q42="V",IF(N45="D",0,1),IF(Q42="D",IF(N45="V",0,1),1))</f>
        <v>1</v>
      </c>
      <c r="AR42" s="216">
        <f>IF(R42="V",IF(N46="D",0,1),IF(R42="D",IF(N46="V",0,1),1))</f>
        <v>1</v>
      </c>
    </row>
    <row r="43" spans="1:44" ht="12" customHeight="1">
      <c r="A43" s="196">
        <f>IF(B43="","",7)</f>
        <v>7</v>
      </c>
      <c r="B43" s="197">
        <v>19</v>
      </c>
      <c r="C43" s="198">
        <f>IF(F43="","",3)</f>
        <v>3</v>
      </c>
      <c r="D43" s="199">
        <f t="shared" si="20"/>
        <v>36</v>
      </c>
      <c r="E43" s="200" t="str">
        <f t="shared" si="21"/>
        <v>速星中学校</v>
      </c>
      <c r="F43" s="201" t="str">
        <f t="shared" si="22"/>
        <v>飯田　龍基</v>
      </c>
      <c r="G43" s="202">
        <v>0</v>
      </c>
      <c r="H43" s="204">
        <v>1</v>
      </c>
      <c r="I43" s="203"/>
      <c r="J43" s="204">
        <v>1</v>
      </c>
      <c r="K43" s="204" t="s">
        <v>199</v>
      </c>
      <c r="L43" s="205"/>
      <c r="M43" s="206" t="str">
        <f>LEFT(G43,1)</f>
        <v>0</v>
      </c>
      <c r="N43" s="207" t="str">
        <f>LEFT(H43,1)</f>
        <v>1</v>
      </c>
      <c r="O43" s="207"/>
      <c r="P43" s="207" t="str">
        <f>LEFT(J43,1)</f>
        <v>1</v>
      </c>
      <c r="Q43" s="207" t="str">
        <f>LEFT(K43,1)</f>
        <v>v</v>
      </c>
      <c r="R43" s="208" t="str">
        <f t="shared" si="15"/>
        <v/>
      </c>
      <c r="S43" s="206">
        <f>IF(ISERROR(VALUE(RIGHT(G43,1))),"",VALUE(RIGHT(G43,1)))</f>
        <v>0</v>
      </c>
      <c r="T43" s="207">
        <f>IF(ISERROR(VALUE(RIGHT(H43,1))),"",VALUE(RIGHT(H43,1)))</f>
        <v>1</v>
      </c>
      <c r="U43" s="207"/>
      <c r="V43" s="207">
        <f>IF(ISERROR(VALUE(RIGHT(J43,1))),"",VALUE(RIGHT(J43,1)))</f>
        <v>1</v>
      </c>
      <c r="W43" s="207">
        <f>IF(ISERROR(VALUE(RIGHT(K43,1))),"",VALUE(RIGHT(K43,1)))</f>
        <v>5</v>
      </c>
      <c r="X43" s="208" t="str">
        <f>IF(ISERROR(VALUE(RIGHT(L43,1))),"",VALUE(RIGHT(L43,1)))</f>
        <v/>
      </c>
      <c r="Y43" s="209">
        <f t="shared" si="10"/>
        <v>36</v>
      </c>
      <c r="Z43" s="210">
        <f t="shared" si="23"/>
        <v>4</v>
      </c>
      <c r="AA43" s="211">
        <f t="shared" si="24"/>
        <v>1</v>
      </c>
      <c r="AB43" s="212">
        <f t="shared" si="25"/>
        <v>0.25</v>
      </c>
      <c r="AC43" s="213">
        <f t="shared" si="26"/>
        <v>7</v>
      </c>
      <c r="AD43" s="211">
        <f>IF(B43&gt;0,SUM(U41:U46),"")</f>
        <v>17</v>
      </c>
      <c r="AE43" s="199">
        <f t="shared" si="12"/>
        <v>-10</v>
      </c>
      <c r="AF43" s="199">
        <f t="shared" si="27"/>
        <v>36</v>
      </c>
      <c r="AG43" s="242"/>
      <c r="AH43" s="245">
        <f t="shared" si="14"/>
        <v>24007051</v>
      </c>
      <c r="AM43" s="214">
        <f>IF(O41="V",IF(M43="D",0,1),IF(O41="D",IF(M43="V",0,1),1))</f>
        <v>1</v>
      </c>
      <c r="AN43" s="215">
        <f>IF(O42="V",IF(N43="D",0,1),IF(O42="D",IF(N43="V",0,1),1))</f>
        <v>1</v>
      </c>
      <c r="AO43" s="215"/>
      <c r="AP43" s="215">
        <f>IF(P43="V",IF(O44="D",0,1),IF(P43="D",IF(O44="V",0,1),1))</f>
        <v>1</v>
      </c>
      <c r="AQ43" s="215">
        <f>IF(Q43="V",IF(O45="D",0,1),IF(Q43="D",IF(O45="V",0,1),1))</f>
        <v>1</v>
      </c>
      <c r="AR43" s="216">
        <f>IF(R43="V",IF(O46="D",0,1),IF(R43="D",IF(O46="V",0,1),1))</f>
        <v>1</v>
      </c>
    </row>
    <row r="44" spans="1:44" ht="12" customHeight="1">
      <c r="A44" s="196">
        <f>IF(B44="","",7)</f>
        <v>7</v>
      </c>
      <c r="B44" s="197">
        <v>34</v>
      </c>
      <c r="C44" s="198">
        <f>IF(F44="","",4)</f>
        <v>4</v>
      </c>
      <c r="D44" s="199">
        <f t="shared" si="20"/>
        <v>23</v>
      </c>
      <c r="E44" s="200" t="str">
        <f t="shared" si="21"/>
        <v>婦中ＪＦＣ</v>
      </c>
      <c r="F44" s="201" t="str">
        <f t="shared" si="22"/>
        <v>横山　慶汰</v>
      </c>
      <c r="G44" s="202">
        <v>2</v>
      </c>
      <c r="H44" s="204">
        <v>2</v>
      </c>
      <c r="I44" s="204" t="s">
        <v>199</v>
      </c>
      <c r="J44" s="203"/>
      <c r="K44" s="204" t="s">
        <v>199</v>
      </c>
      <c r="L44" s="205"/>
      <c r="M44" s="206" t="str">
        <f>LEFT(G44,1)</f>
        <v>2</v>
      </c>
      <c r="N44" s="207" t="str">
        <f>LEFT(H44,1)</f>
        <v>2</v>
      </c>
      <c r="O44" s="207" t="str">
        <f>LEFT(I44,1)</f>
        <v>v</v>
      </c>
      <c r="P44" s="207"/>
      <c r="Q44" s="207" t="str">
        <f>LEFT(K44,1)</f>
        <v>v</v>
      </c>
      <c r="R44" s="208" t="str">
        <f t="shared" si="15"/>
        <v/>
      </c>
      <c r="S44" s="206">
        <f>IF(ISERROR(VALUE(RIGHT(G44,1))),"",VALUE(RIGHT(G44,1)))</f>
        <v>2</v>
      </c>
      <c r="T44" s="207">
        <f>IF(ISERROR(VALUE(RIGHT(H44,1))),"",VALUE(RIGHT(H44,1)))</f>
        <v>2</v>
      </c>
      <c r="U44" s="207">
        <f>IF(ISERROR(VALUE(RIGHT(I44,1))),"",VALUE(RIGHT(I44,1)))</f>
        <v>5</v>
      </c>
      <c r="V44" s="207"/>
      <c r="W44" s="207">
        <f>IF(ISERROR(VALUE(RIGHT(K44,1))),"",VALUE(RIGHT(K44,1)))</f>
        <v>5</v>
      </c>
      <c r="X44" s="208" t="str">
        <f>IF(ISERROR(VALUE(RIGHT(L44,1))),"",VALUE(RIGHT(L44,1)))</f>
        <v/>
      </c>
      <c r="Y44" s="209">
        <f t="shared" si="10"/>
        <v>23</v>
      </c>
      <c r="Z44" s="210">
        <f t="shared" si="23"/>
        <v>4</v>
      </c>
      <c r="AA44" s="211">
        <f t="shared" si="24"/>
        <v>2</v>
      </c>
      <c r="AB44" s="212">
        <f t="shared" si="25"/>
        <v>0.5</v>
      </c>
      <c r="AC44" s="213">
        <f t="shared" si="26"/>
        <v>14</v>
      </c>
      <c r="AD44" s="211">
        <f>IF(B44&gt;0,SUM(V41:V46),"")</f>
        <v>11</v>
      </c>
      <c r="AE44" s="199">
        <f t="shared" si="12"/>
        <v>3</v>
      </c>
      <c r="AF44" s="199">
        <f t="shared" si="27"/>
        <v>23</v>
      </c>
      <c r="AG44" s="242"/>
      <c r="AH44" s="245">
        <f t="shared" si="14"/>
        <v>50314106</v>
      </c>
      <c r="AM44" s="214">
        <f>IF(P41="V",IF(M44="D",0,1),IF(P41="D",IF(M44="V",0,1),1))</f>
        <v>1</v>
      </c>
      <c r="AN44" s="215">
        <f>IF(P42="V",IF(N44="D",0,1),IF(P42="D",IF(N44="V",0,1),1))</f>
        <v>1</v>
      </c>
      <c r="AO44" s="215">
        <f>IF(P43="V",IF(O44="D",0,1),IF(P43="D",IF(O44="V",0,1),1))</f>
        <v>1</v>
      </c>
      <c r="AP44" s="215"/>
      <c r="AQ44" s="215">
        <f>IF(Q44="V",IF(P45="D",0,1),IF(Q44="D",IF(P45="V",0,1),1))</f>
        <v>1</v>
      </c>
      <c r="AR44" s="216">
        <f>IF(R44="V",IF(P46="D",0,1),IF(R44="D",IF(P46="V",0,1),1))</f>
        <v>1</v>
      </c>
    </row>
    <row r="45" spans="1:44" ht="12" customHeight="1">
      <c r="A45" s="196">
        <f>IF(B45="","",7)</f>
        <v>7</v>
      </c>
      <c r="B45" s="197">
        <v>49</v>
      </c>
      <c r="C45" s="198">
        <f>IF(F45="","",5)</f>
        <v>5</v>
      </c>
      <c r="D45" s="199">
        <f t="shared" si="20"/>
        <v>46</v>
      </c>
      <c r="E45" s="200" t="str">
        <f t="shared" si="21"/>
        <v>はしまモア</v>
      </c>
      <c r="F45" s="201" t="str">
        <f t="shared" si="22"/>
        <v>今井　大河</v>
      </c>
      <c r="G45" s="202">
        <v>1</v>
      </c>
      <c r="H45" s="204">
        <v>0</v>
      </c>
      <c r="I45" s="204">
        <v>2</v>
      </c>
      <c r="J45" s="204">
        <v>0</v>
      </c>
      <c r="K45" s="203"/>
      <c r="L45" s="205"/>
      <c r="M45" s="206" t="str">
        <f>LEFT(G45,1)</f>
        <v>1</v>
      </c>
      <c r="N45" s="207" t="str">
        <f>LEFT(H45,1)</f>
        <v>0</v>
      </c>
      <c r="O45" s="207" t="str">
        <f>LEFT(I45,1)</f>
        <v>2</v>
      </c>
      <c r="P45" s="207" t="str">
        <f>LEFT(J45,1)</f>
        <v>0</v>
      </c>
      <c r="Q45" s="207"/>
      <c r="R45" s="208" t="str">
        <f t="shared" si="15"/>
        <v/>
      </c>
      <c r="S45" s="206">
        <f>IF(ISERROR(VALUE(RIGHT(G45,1))),"",VALUE(RIGHT(G45,1)))</f>
        <v>1</v>
      </c>
      <c r="T45" s="207">
        <f>IF(ISERROR(VALUE(RIGHT(H45,1))),"",VALUE(RIGHT(H45,1)))</f>
        <v>0</v>
      </c>
      <c r="U45" s="207">
        <f>IF(ISERROR(VALUE(RIGHT(I45,1))),"",VALUE(RIGHT(I45,1)))</f>
        <v>2</v>
      </c>
      <c r="V45" s="207">
        <f>IF(ISERROR(VALUE(RIGHT(J45,1))),"",VALUE(RIGHT(J45,1)))</f>
        <v>0</v>
      </c>
      <c r="W45" s="207"/>
      <c r="X45" s="208" t="str">
        <f>IF(ISERROR(VALUE(RIGHT(L45,1))),"",VALUE(RIGHT(L45,1)))</f>
        <v/>
      </c>
      <c r="Y45" s="209">
        <f t="shared" si="10"/>
        <v>46</v>
      </c>
      <c r="Z45" s="210">
        <f t="shared" si="23"/>
        <v>4</v>
      </c>
      <c r="AA45" s="211">
        <f t="shared" si="24"/>
        <v>0</v>
      </c>
      <c r="AB45" s="212">
        <f t="shared" si="25"/>
        <v>0</v>
      </c>
      <c r="AC45" s="213">
        <f t="shared" si="26"/>
        <v>3</v>
      </c>
      <c r="AD45" s="211">
        <f>IF(B45&gt;0,SUM(W41:W46),"")</f>
        <v>20</v>
      </c>
      <c r="AE45" s="199">
        <f t="shared" si="12"/>
        <v>-17</v>
      </c>
      <c r="AF45" s="199">
        <f t="shared" si="27"/>
        <v>46</v>
      </c>
      <c r="AG45" s="242"/>
      <c r="AH45" s="245">
        <f t="shared" si="14"/>
        <v>-1697019</v>
      </c>
      <c r="AM45" s="214">
        <f>IF(Q41="V",IF(M45="D",0,1),IF(Q41="D",IF(M45="V",0,1),1))</f>
        <v>1</v>
      </c>
      <c r="AN45" s="215">
        <f>IF(Q42="V",IF(N45="D",0,1),IF(Q42="D",IF(N45="V",0,1),1))</f>
        <v>1</v>
      </c>
      <c r="AO45" s="215">
        <f>IF(Q43="V",IF(O45="D",0,1),IF(Q43="D",IF(O45="V",0,1),1))</f>
        <v>1</v>
      </c>
      <c r="AP45" s="215">
        <f>IF(Q44="V",IF(P45="D",0,1),IF(Q44="D",IF(P45="V",0,1),1))</f>
        <v>1</v>
      </c>
      <c r="AQ45" s="215"/>
      <c r="AR45" s="216">
        <f>IF(R45="V",IF(Q46="D",0,1),IF(R45="D",IF(Q46="V",0,1),1))</f>
        <v>1</v>
      </c>
    </row>
    <row r="46" spans="1:44" ht="12" customHeight="1">
      <c r="A46" s="217" t="str">
        <f>IF(B46="","",7)</f>
        <v/>
      </c>
      <c r="B46" s="218"/>
      <c r="C46" s="219" t="str">
        <f>IF(F46="","",6)</f>
        <v/>
      </c>
      <c r="D46" s="220" t="str">
        <f t="shared" si="20"/>
        <v/>
      </c>
      <c r="E46" s="221" t="str">
        <f t="shared" si="21"/>
        <v/>
      </c>
      <c r="F46" s="222" t="str">
        <f t="shared" si="22"/>
        <v/>
      </c>
      <c r="G46" s="223"/>
      <c r="H46" s="224"/>
      <c r="I46" s="224"/>
      <c r="J46" s="224"/>
      <c r="K46" s="224"/>
      <c r="L46" s="225"/>
      <c r="M46" s="226" t="str">
        <f>LEFT(G46,1)</f>
        <v/>
      </c>
      <c r="N46" s="227" t="str">
        <f>LEFT(H46,1)</f>
        <v/>
      </c>
      <c r="O46" s="227" t="str">
        <f>LEFT(I46,1)</f>
        <v/>
      </c>
      <c r="P46" s="227" t="str">
        <f>LEFT(J46,1)</f>
        <v/>
      </c>
      <c r="Q46" s="227" t="str">
        <f>LEFT(K46,1)</f>
        <v/>
      </c>
      <c r="R46" s="228" t="str">
        <f t="shared" si="15"/>
        <v/>
      </c>
      <c r="S46" s="226" t="str">
        <f>IF(ISERROR(VALUE(RIGHT(G46,1))),"",VALUE(RIGHT(G46,1)))</f>
        <v/>
      </c>
      <c r="T46" s="227" t="str">
        <f>IF(ISERROR(VALUE(RIGHT(H46,1))),"",VALUE(RIGHT(H46,1)))</f>
        <v/>
      </c>
      <c r="U46" s="227" t="str">
        <f>IF(ISERROR(VALUE(RIGHT(I46,1))),"",VALUE(RIGHT(I46,1)))</f>
        <v/>
      </c>
      <c r="V46" s="227" t="str">
        <f>IF(ISERROR(VALUE(RIGHT(J46,1))),"",VALUE(RIGHT(J46,1)))</f>
        <v/>
      </c>
      <c r="W46" s="227" t="str">
        <f>IF(ISERROR(VALUE(RIGHT(K46,1))),"",VALUE(RIGHT(K46,1)))</f>
        <v/>
      </c>
      <c r="X46" s="228"/>
      <c r="Y46" s="229" t="str">
        <f t="shared" si="10"/>
        <v/>
      </c>
      <c r="Z46" s="230" t="str">
        <f t="shared" si="23"/>
        <v/>
      </c>
      <c r="AA46" s="231" t="str">
        <f t="shared" si="24"/>
        <v/>
      </c>
      <c r="AB46" s="232" t="str">
        <f t="shared" si="25"/>
        <v/>
      </c>
      <c r="AC46" s="233" t="str">
        <f t="shared" si="26"/>
        <v/>
      </c>
      <c r="AD46" s="231" t="str">
        <f>IF(B46&gt;0,SUM(X41:X46),"")</f>
        <v/>
      </c>
      <c r="AE46" s="234" t="str">
        <f t="shared" si="12"/>
        <v/>
      </c>
      <c r="AF46" s="234" t="str">
        <f>IF(ISERROR(D46),"",D46)</f>
        <v/>
      </c>
      <c r="AG46" s="243"/>
      <c r="AH46" s="246" t="str">
        <f t="shared" si="14"/>
        <v/>
      </c>
      <c r="AM46" s="235">
        <f>IF(R41="V",IF(M46="D",0,1),IF(R41="D",IF(M46="V",0,1),1))</f>
        <v>1</v>
      </c>
      <c r="AN46" s="236">
        <f>IF(R42="V",IF(N46="D",0,1),IF(R42="D",IF(N46="V",0,1),1))</f>
        <v>1</v>
      </c>
      <c r="AO46" s="236">
        <f>IF(R43="V",IF(O46="D",0,1),IF(R43="D",IF(O46="V",0,1),1))</f>
        <v>1</v>
      </c>
      <c r="AP46" s="236">
        <f>IF(R44="V",IF(P46="D",0,1),IF(R44="D",IF(P46="V",0,1),1))</f>
        <v>1</v>
      </c>
      <c r="AQ46" s="236">
        <f>IF(R45="V",IF(Q46="D",0,1),IF(R45="D",IF(Q46="V",0,1),1))</f>
        <v>1</v>
      </c>
      <c r="AR46" s="237"/>
    </row>
    <row r="47" spans="1:44" ht="12" customHeight="1">
      <c r="A47" s="175">
        <v>8</v>
      </c>
      <c r="B47" s="176">
        <v>8</v>
      </c>
      <c r="C47" s="177">
        <f>IF(F47="","",1)</f>
        <v>1</v>
      </c>
      <c r="D47" s="178">
        <f t="shared" si="20"/>
        <v>4</v>
      </c>
      <c r="E47" s="179" t="str">
        <f t="shared" si="21"/>
        <v>ワセダクラブ</v>
      </c>
      <c r="F47" s="180" t="str">
        <f t="shared" si="22"/>
        <v>鈴木　統吾</v>
      </c>
      <c r="G47" s="181"/>
      <c r="H47" s="182" t="s">
        <v>199</v>
      </c>
      <c r="I47" s="182" t="s">
        <v>203</v>
      </c>
      <c r="J47" s="182" t="s">
        <v>199</v>
      </c>
      <c r="K47" s="182" t="s">
        <v>199</v>
      </c>
      <c r="L47" s="183"/>
      <c r="M47" s="184"/>
      <c r="N47" s="185" t="str">
        <f>LEFT(H47,1)</f>
        <v>v</v>
      </c>
      <c r="O47" s="185" t="str">
        <f>LEFT(I47,1)</f>
        <v>v</v>
      </c>
      <c r="P47" s="185" t="str">
        <f>LEFT(J47,1)</f>
        <v>v</v>
      </c>
      <c r="Q47" s="185" t="str">
        <f>LEFT(K47,1)</f>
        <v>v</v>
      </c>
      <c r="R47" s="186" t="str">
        <f t="shared" si="15"/>
        <v/>
      </c>
      <c r="S47" s="184"/>
      <c r="T47" s="185">
        <f>IF(ISERROR(VALUE(RIGHT(H47,1))),"",VALUE(RIGHT(H47,1)))</f>
        <v>5</v>
      </c>
      <c r="U47" s="185">
        <f>IF(ISERROR(VALUE(RIGHT(I47,1))),"",VALUE(RIGHT(I47,1)))</f>
        <v>5</v>
      </c>
      <c r="V47" s="185">
        <f>IF(ISERROR(VALUE(RIGHT(J47,1))),"",VALUE(RIGHT(J47,1)))</f>
        <v>5</v>
      </c>
      <c r="W47" s="185">
        <f>IF(ISERROR(VALUE(RIGHT(K47,1))),"",VALUE(RIGHT(K47,1)))</f>
        <v>5</v>
      </c>
      <c r="X47" s="186" t="str">
        <f>IF(ISERROR(VALUE(RIGHT(L47,1))),"",VALUE(RIGHT(L47,1)))</f>
        <v/>
      </c>
      <c r="Y47" s="187">
        <f t="shared" si="10"/>
        <v>4</v>
      </c>
      <c r="Z47" s="188">
        <f t="shared" si="23"/>
        <v>4</v>
      </c>
      <c r="AA47" s="189">
        <f t="shared" si="24"/>
        <v>4</v>
      </c>
      <c r="AB47" s="190">
        <f t="shared" si="25"/>
        <v>1</v>
      </c>
      <c r="AC47" s="191">
        <f t="shared" si="26"/>
        <v>20</v>
      </c>
      <c r="AD47" s="189">
        <f>IF(B47&gt;0,SUM(S47:S52),"")</f>
        <v>5</v>
      </c>
      <c r="AE47" s="178">
        <f t="shared" si="12"/>
        <v>15</v>
      </c>
      <c r="AF47" s="178">
        <f>IF(ISERROR(D47),"",D47)</f>
        <v>4</v>
      </c>
      <c r="AG47" s="241"/>
      <c r="AH47" s="244">
        <f t="shared" si="14"/>
        <v>101520192</v>
      </c>
      <c r="AM47" s="193"/>
      <c r="AN47" s="194">
        <f>IF(N47="V",IF(M48="D",0,1),IF(N47="D",IF(M48="V",0,1),1))</f>
        <v>1</v>
      </c>
      <c r="AO47" s="194">
        <f>IF(O47="V",IF(M49="D",0,1),IF(O47="D",IF(M49="V",0,1),1))</f>
        <v>1</v>
      </c>
      <c r="AP47" s="194">
        <f>IF(P47="V",IF(M50="D",0,1),IF(P47="D",IF(M50="V",0,1),1))</f>
        <v>1</v>
      </c>
      <c r="AQ47" s="194">
        <f>IF(Q47="V",IF(M51="D",0,1),IF(Q47="D",IF(M51="V",0,1),1))</f>
        <v>1</v>
      </c>
      <c r="AR47" s="195">
        <f>IF(R47="V",IF(M52="D",0,1),IF(R47="D",IF(M52="V",0,1),1))</f>
        <v>1</v>
      </c>
    </row>
    <row r="48" spans="1:44" ht="12" customHeight="1">
      <c r="A48" s="196">
        <f>IF(B48="","",8)</f>
        <v>8</v>
      </c>
      <c r="B48" s="197">
        <v>11</v>
      </c>
      <c r="C48" s="198">
        <f>IF(F48="","",2)</f>
        <v>2</v>
      </c>
      <c r="D48" s="199">
        <f t="shared" si="20"/>
        <v>33</v>
      </c>
      <c r="E48" s="200" t="str">
        <f t="shared" si="21"/>
        <v>長野ジュニア</v>
      </c>
      <c r="F48" s="201" t="str">
        <f t="shared" si="22"/>
        <v>登内　雄心</v>
      </c>
      <c r="G48" s="202">
        <v>0</v>
      </c>
      <c r="H48" s="203"/>
      <c r="I48" s="204">
        <v>3</v>
      </c>
      <c r="J48" s="204">
        <v>2</v>
      </c>
      <c r="K48" s="204" t="s">
        <v>199</v>
      </c>
      <c r="L48" s="205"/>
      <c r="M48" s="206" t="str">
        <f>LEFT(G48,1)</f>
        <v>0</v>
      </c>
      <c r="N48" s="207"/>
      <c r="O48" s="207" t="str">
        <f>LEFT(I48,1)</f>
        <v>3</v>
      </c>
      <c r="P48" s="207" t="str">
        <f>LEFT(J48,1)</f>
        <v>2</v>
      </c>
      <c r="Q48" s="207" t="str">
        <f>LEFT(K48,1)</f>
        <v>v</v>
      </c>
      <c r="R48" s="208" t="str">
        <f t="shared" si="15"/>
        <v/>
      </c>
      <c r="S48" s="206">
        <f>IF(ISERROR(VALUE(RIGHT(G48,1))),"",VALUE(RIGHT(G48,1)))</f>
        <v>0</v>
      </c>
      <c r="T48" s="207"/>
      <c r="U48" s="207">
        <f>IF(ISERROR(VALUE(RIGHT(I48,1))),"",VALUE(RIGHT(I48,1)))</f>
        <v>3</v>
      </c>
      <c r="V48" s="207">
        <f>IF(ISERROR(VALUE(RIGHT(J48,1))),"",VALUE(RIGHT(J48,1)))</f>
        <v>2</v>
      </c>
      <c r="W48" s="207">
        <f>IF(ISERROR(VALUE(RIGHT(K48,1))),"",VALUE(RIGHT(K48,1)))</f>
        <v>5</v>
      </c>
      <c r="X48" s="208" t="str">
        <f>IF(ISERROR(VALUE(RIGHT(L48,1))),"",VALUE(RIGHT(L48,1)))</f>
        <v/>
      </c>
      <c r="Y48" s="209">
        <f t="shared" si="10"/>
        <v>33</v>
      </c>
      <c r="Z48" s="210">
        <f t="shared" si="23"/>
        <v>4</v>
      </c>
      <c r="AA48" s="211">
        <f t="shared" si="24"/>
        <v>1</v>
      </c>
      <c r="AB48" s="212">
        <f t="shared" si="25"/>
        <v>0.25</v>
      </c>
      <c r="AC48" s="213">
        <f t="shared" si="26"/>
        <v>10</v>
      </c>
      <c r="AD48" s="211">
        <f>IF(B48&gt;0,SUM(T47:T52),"")</f>
        <v>14</v>
      </c>
      <c r="AE48" s="199">
        <f t="shared" si="12"/>
        <v>-4</v>
      </c>
      <c r="AF48" s="199">
        <f t="shared" ref="AF48:AF57" si="28">IF(ISERROR(D48),"",D48)</f>
        <v>33</v>
      </c>
      <c r="AG48" s="242"/>
      <c r="AH48" s="245">
        <f t="shared" si="14"/>
        <v>24610089</v>
      </c>
      <c r="AM48" s="214">
        <f>IF(N47="V",IF(M48="D",0,1),IF(N47="D",IF(M48="V",0,1),1))</f>
        <v>1</v>
      </c>
      <c r="AN48" s="215"/>
      <c r="AO48" s="215">
        <f>IF(O48="V",IF(N49="D",0,1),IF(O48="D",IF(N49="V",0,1),1))</f>
        <v>1</v>
      </c>
      <c r="AP48" s="215">
        <f>IF(P48="V",IF(N50="D",0,1),IF(P48="D",IF(N50="V",0,1),1))</f>
        <v>1</v>
      </c>
      <c r="AQ48" s="215">
        <f>IF(Q48="V",IF(N51="D",0,1),IF(Q48="D",IF(N51="V",0,1),1))</f>
        <v>1</v>
      </c>
      <c r="AR48" s="216">
        <f>IF(R48="V",IF(N52="D",0,1),IF(R48="D",IF(N52="V",0,1),1))</f>
        <v>1</v>
      </c>
    </row>
    <row r="49" spans="1:44" ht="12" customHeight="1">
      <c r="A49" s="196">
        <f>IF(B49="","",8)</f>
        <v>8</v>
      </c>
      <c r="B49" s="197">
        <v>26</v>
      </c>
      <c r="C49" s="198">
        <f>IF(F49="","",3)</f>
        <v>3</v>
      </c>
      <c r="D49" s="199">
        <f t="shared" si="20"/>
        <v>27</v>
      </c>
      <c r="E49" s="200" t="str">
        <f t="shared" si="21"/>
        <v>SEIBUスポーツ</v>
      </c>
      <c r="F49" s="201" t="str">
        <f t="shared" si="22"/>
        <v>大原　士侑</v>
      </c>
      <c r="G49" s="202">
        <v>4</v>
      </c>
      <c r="H49" s="204" t="s">
        <v>212</v>
      </c>
      <c r="I49" s="203"/>
      <c r="J49" s="204">
        <v>0</v>
      </c>
      <c r="K49" s="204" t="s">
        <v>199</v>
      </c>
      <c r="L49" s="205"/>
      <c r="M49" s="206" t="str">
        <f>LEFT(G49,1)</f>
        <v>4</v>
      </c>
      <c r="N49" s="207" t="str">
        <f>LEFT(H49,1)</f>
        <v>v</v>
      </c>
      <c r="O49" s="207"/>
      <c r="P49" s="207" t="str">
        <f>LEFT(J49,1)</f>
        <v>0</v>
      </c>
      <c r="Q49" s="207" t="str">
        <f>LEFT(K49,1)</f>
        <v>v</v>
      </c>
      <c r="R49" s="208" t="str">
        <f t="shared" si="15"/>
        <v/>
      </c>
      <c r="S49" s="206">
        <f>IF(ISERROR(VALUE(RIGHT(G49,1))),"",VALUE(RIGHT(G49,1)))</f>
        <v>4</v>
      </c>
      <c r="T49" s="207">
        <f>IF(ISERROR(VALUE(RIGHT(H49,1))),"",VALUE(RIGHT(H49,1)))</f>
        <v>4</v>
      </c>
      <c r="U49" s="207"/>
      <c r="V49" s="207">
        <f>IF(ISERROR(VALUE(RIGHT(J49,1))),"",VALUE(RIGHT(J49,1)))</f>
        <v>0</v>
      </c>
      <c r="W49" s="207">
        <f>IF(ISERROR(VALUE(RIGHT(K49,1))),"",VALUE(RIGHT(K49,1)))</f>
        <v>5</v>
      </c>
      <c r="X49" s="208" t="str">
        <f>IF(ISERROR(VALUE(RIGHT(L49,1))),"",VALUE(RIGHT(L49,1)))</f>
        <v/>
      </c>
      <c r="Y49" s="209">
        <f t="shared" si="10"/>
        <v>27</v>
      </c>
      <c r="Z49" s="210">
        <f t="shared" si="23"/>
        <v>4</v>
      </c>
      <c r="AA49" s="211">
        <f t="shared" si="24"/>
        <v>2</v>
      </c>
      <c r="AB49" s="212">
        <f t="shared" si="25"/>
        <v>0.5</v>
      </c>
      <c r="AC49" s="213">
        <f t="shared" si="26"/>
        <v>13</v>
      </c>
      <c r="AD49" s="211">
        <f>IF(B49&gt;0,SUM(U47:U52),"")</f>
        <v>14</v>
      </c>
      <c r="AE49" s="199">
        <f t="shared" si="12"/>
        <v>-1</v>
      </c>
      <c r="AF49" s="199">
        <f t="shared" si="28"/>
        <v>27</v>
      </c>
      <c r="AG49" s="242"/>
      <c r="AH49" s="245">
        <f t="shared" si="14"/>
        <v>49913104</v>
      </c>
      <c r="AM49" s="214">
        <f>IF(O47="V",IF(M49="D",0,1),IF(O47="D",IF(M49="V",0,1),1))</f>
        <v>1</v>
      </c>
      <c r="AN49" s="215">
        <f>IF(O48="V",IF(N49="D",0,1),IF(O48="D",IF(N49="V",0,1),1))</f>
        <v>1</v>
      </c>
      <c r="AO49" s="215"/>
      <c r="AP49" s="215">
        <f>IF(P49="V",IF(O50="D",0,1),IF(P49="D",IF(O50="V",0,1),1))</f>
        <v>1</v>
      </c>
      <c r="AQ49" s="215">
        <f>IF(Q49="V",IF(O51="D",0,1),IF(Q49="D",IF(O51="V",0,1),1))</f>
        <v>1</v>
      </c>
      <c r="AR49" s="216">
        <f>IF(R49="V",IF(O52="D",0,1),IF(R49="D",IF(O52="V",0,1),1))</f>
        <v>1</v>
      </c>
    </row>
    <row r="50" spans="1:44" ht="12" customHeight="1">
      <c r="A50" s="196">
        <f>IF(B50="","",8)</f>
        <v>8</v>
      </c>
      <c r="B50" s="197">
        <v>29</v>
      </c>
      <c r="C50" s="198">
        <f>IF(F50="","",4)</f>
        <v>4</v>
      </c>
      <c r="D50" s="199">
        <f t="shared" si="20"/>
        <v>15</v>
      </c>
      <c r="E50" s="200" t="str">
        <f t="shared" si="21"/>
        <v>箕輪中学校</v>
      </c>
      <c r="F50" s="201" t="str">
        <f t="shared" si="22"/>
        <v>中村　駿太</v>
      </c>
      <c r="G50" s="202">
        <v>1</v>
      </c>
      <c r="H50" s="204" t="s">
        <v>199</v>
      </c>
      <c r="I50" s="204" t="s">
        <v>199</v>
      </c>
      <c r="J50" s="203"/>
      <c r="K50" s="204" t="s">
        <v>199</v>
      </c>
      <c r="L50" s="205"/>
      <c r="M50" s="206" t="str">
        <f>LEFT(G50,1)</f>
        <v>1</v>
      </c>
      <c r="N50" s="207" t="str">
        <f>LEFT(H50,1)</f>
        <v>v</v>
      </c>
      <c r="O50" s="207" t="str">
        <f>LEFT(I50,1)</f>
        <v>v</v>
      </c>
      <c r="P50" s="207"/>
      <c r="Q50" s="207" t="str">
        <f>LEFT(K50,1)</f>
        <v>v</v>
      </c>
      <c r="R50" s="208" t="str">
        <f t="shared" si="15"/>
        <v/>
      </c>
      <c r="S50" s="206">
        <f>IF(ISERROR(VALUE(RIGHT(G50,1))),"",VALUE(RIGHT(G50,1)))</f>
        <v>1</v>
      </c>
      <c r="T50" s="207">
        <f>IF(ISERROR(VALUE(RIGHT(H50,1))),"",VALUE(RIGHT(H50,1)))</f>
        <v>5</v>
      </c>
      <c r="U50" s="207">
        <f>IF(ISERROR(VALUE(RIGHT(I50,1))),"",VALUE(RIGHT(I50,1)))</f>
        <v>5</v>
      </c>
      <c r="V50" s="207"/>
      <c r="W50" s="207">
        <f>IF(ISERROR(VALUE(RIGHT(K50,1))),"",VALUE(RIGHT(K50,1)))</f>
        <v>5</v>
      </c>
      <c r="X50" s="208" t="str">
        <f>IF(ISERROR(VALUE(RIGHT(L50,1))),"",VALUE(RIGHT(L50,1)))</f>
        <v/>
      </c>
      <c r="Y50" s="209">
        <f t="shared" si="10"/>
        <v>15</v>
      </c>
      <c r="Z50" s="210">
        <f t="shared" si="23"/>
        <v>4</v>
      </c>
      <c r="AA50" s="211">
        <f t="shared" si="24"/>
        <v>3</v>
      </c>
      <c r="AB50" s="212">
        <f t="shared" si="25"/>
        <v>0.75</v>
      </c>
      <c r="AC50" s="213">
        <f t="shared" si="26"/>
        <v>16</v>
      </c>
      <c r="AD50" s="211">
        <f>IF(B50&gt;0,SUM(V47:V52),"")</f>
        <v>7</v>
      </c>
      <c r="AE50" s="199">
        <f t="shared" si="12"/>
        <v>9</v>
      </c>
      <c r="AF50" s="199">
        <f t="shared" si="28"/>
        <v>15</v>
      </c>
      <c r="AG50" s="242"/>
      <c r="AH50" s="245">
        <f t="shared" si="14"/>
        <v>75916131</v>
      </c>
      <c r="AM50" s="214">
        <f>IF(P47="V",IF(M50="D",0,1),IF(P47="D",IF(M50="V",0,1),1))</f>
        <v>1</v>
      </c>
      <c r="AN50" s="215">
        <f>IF(P48="V",IF(N50="D",0,1),IF(P48="D",IF(N50="V",0,1),1))</f>
        <v>1</v>
      </c>
      <c r="AO50" s="215">
        <f>IF(P49="V",IF(O50="D",0,1),IF(P49="D",IF(O50="V",0,1),1))</f>
        <v>1</v>
      </c>
      <c r="AP50" s="215"/>
      <c r="AQ50" s="215">
        <f>IF(Q50="V",IF(P51="D",0,1),IF(Q50="D",IF(P51="V",0,1),1))</f>
        <v>1</v>
      </c>
      <c r="AR50" s="216">
        <f>IF(R50="V",IF(P52="D",0,1),IF(R50="D",IF(P52="V",0,1),1))</f>
        <v>1</v>
      </c>
    </row>
    <row r="51" spans="1:44" ht="12" customHeight="1">
      <c r="A51" s="196">
        <f>IF(B51="","",8)</f>
        <v>8</v>
      </c>
      <c r="B51" s="197">
        <v>50</v>
      </c>
      <c r="C51" s="198">
        <f>IF(F51="","",5)</f>
        <v>5</v>
      </c>
      <c r="D51" s="199">
        <f t="shared" si="20"/>
        <v>47</v>
      </c>
      <c r="E51" s="200" t="str">
        <f t="shared" si="21"/>
        <v>はしまモア</v>
      </c>
      <c r="F51" s="201" t="str">
        <f t="shared" si="22"/>
        <v>木曽　瑞己</v>
      </c>
      <c r="G51" s="202">
        <v>0</v>
      </c>
      <c r="H51" s="204">
        <v>0</v>
      </c>
      <c r="I51" s="204">
        <v>1</v>
      </c>
      <c r="J51" s="204">
        <v>0</v>
      </c>
      <c r="K51" s="203"/>
      <c r="L51" s="205"/>
      <c r="M51" s="206" t="str">
        <f>LEFT(G51,1)</f>
        <v>0</v>
      </c>
      <c r="N51" s="207" t="str">
        <f>LEFT(H51,1)</f>
        <v>0</v>
      </c>
      <c r="O51" s="207" t="str">
        <f>LEFT(I51,1)</f>
        <v>1</v>
      </c>
      <c r="P51" s="207" t="str">
        <f>LEFT(J51,1)</f>
        <v>0</v>
      </c>
      <c r="Q51" s="207"/>
      <c r="R51" s="208" t="str">
        <f t="shared" si="15"/>
        <v/>
      </c>
      <c r="S51" s="206">
        <f>IF(ISERROR(VALUE(RIGHT(G51,1))),"",VALUE(RIGHT(G51,1)))</f>
        <v>0</v>
      </c>
      <c r="T51" s="207">
        <f>IF(ISERROR(VALUE(RIGHT(H51,1))),"",VALUE(RIGHT(H51,1)))</f>
        <v>0</v>
      </c>
      <c r="U51" s="207">
        <f>IF(ISERROR(VALUE(RIGHT(I51,1))),"",VALUE(RIGHT(I51,1)))</f>
        <v>1</v>
      </c>
      <c r="V51" s="207">
        <f>IF(ISERROR(VALUE(RIGHT(J51,1))),"",VALUE(RIGHT(J51,1)))</f>
        <v>0</v>
      </c>
      <c r="W51" s="207"/>
      <c r="X51" s="208" t="str">
        <f>IF(ISERROR(VALUE(RIGHT(L51,1))),"",VALUE(RIGHT(L51,1)))</f>
        <v/>
      </c>
      <c r="Y51" s="209">
        <f t="shared" si="10"/>
        <v>47</v>
      </c>
      <c r="Z51" s="210">
        <f t="shared" si="23"/>
        <v>4</v>
      </c>
      <c r="AA51" s="211">
        <f t="shared" si="24"/>
        <v>0</v>
      </c>
      <c r="AB51" s="212">
        <f t="shared" si="25"/>
        <v>0</v>
      </c>
      <c r="AC51" s="213">
        <f t="shared" si="26"/>
        <v>1</v>
      </c>
      <c r="AD51" s="211">
        <f>IF(B51&gt;0,SUM(W47:W52),"")</f>
        <v>20</v>
      </c>
      <c r="AE51" s="199">
        <f t="shared" si="12"/>
        <v>-19</v>
      </c>
      <c r="AF51" s="199">
        <f t="shared" si="28"/>
        <v>47</v>
      </c>
      <c r="AG51" s="242"/>
      <c r="AH51" s="245">
        <f t="shared" si="14"/>
        <v>-1899040</v>
      </c>
      <c r="AM51" s="214">
        <f>IF(Q47="V",IF(M51="D",0,1),IF(Q47="D",IF(M51="V",0,1),1))</f>
        <v>1</v>
      </c>
      <c r="AN51" s="215">
        <f>IF(Q48="V",IF(N51="D",0,1),IF(Q48="D",IF(N51="V",0,1),1))</f>
        <v>1</v>
      </c>
      <c r="AO51" s="215">
        <f>IF(Q49="V",IF(O51="D",0,1),IF(Q49="D",IF(O51="V",0,1),1))</f>
        <v>1</v>
      </c>
      <c r="AP51" s="215">
        <f>IF(Q50="V",IF(P51="D",0,1),IF(Q50="D",IF(P51="V",0,1),1))</f>
        <v>1</v>
      </c>
      <c r="AQ51" s="215"/>
      <c r="AR51" s="216">
        <f>IF(R51="V",IF(Q52="D",0,1),IF(R51="D",IF(Q52="V",0,1),1))</f>
        <v>1</v>
      </c>
    </row>
    <row r="52" spans="1:44" ht="12" customHeight="1">
      <c r="A52" s="217" t="str">
        <f>IF(B52="","",8)</f>
        <v/>
      </c>
      <c r="B52" s="218"/>
      <c r="C52" s="219" t="str">
        <f>IF(F52="","",6)</f>
        <v/>
      </c>
      <c r="D52" s="220" t="str">
        <f t="shared" si="20"/>
        <v/>
      </c>
      <c r="E52" s="221" t="str">
        <f t="shared" si="21"/>
        <v/>
      </c>
      <c r="F52" s="222" t="str">
        <f t="shared" si="22"/>
        <v/>
      </c>
      <c r="G52" s="223"/>
      <c r="H52" s="224"/>
      <c r="I52" s="224"/>
      <c r="J52" s="224"/>
      <c r="K52" s="224"/>
      <c r="L52" s="225"/>
      <c r="M52" s="226" t="str">
        <f>LEFT(G52,1)</f>
        <v/>
      </c>
      <c r="N52" s="227" t="str">
        <f>LEFT(H52,1)</f>
        <v/>
      </c>
      <c r="O52" s="227" t="str">
        <f>LEFT(I52,1)</f>
        <v/>
      </c>
      <c r="P52" s="227" t="str">
        <f>LEFT(J52,1)</f>
        <v/>
      </c>
      <c r="Q52" s="227" t="str">
        <f>LEFT(K52,1)</f>
        <v/>
      </c>
      <c r="R52" s="228" t="str">
        <f t="shared" si="15"/>
        <v/>
      </c>
      <c r="S52" s="226" t="str">
        <f>IF(ISERROR(VALUE(RIGHT(G52,1))),"",VALUE(RIGHT(G52,1)))</f>
        <v/>
      </c>
      <c r="T52" s="227" t="str">
        <f>IF(ISERROR(VALUE(RIGHT(H52,1))),"",VALUE(RIGHT(H52,1)))</f>
        <v/>
      </c>
      <c r="U52" s="227" t="str">
        <f>IF(ISERROR(VALUE(RIGHT(I52,1))),"",VALUE(RIGHT(I52,1)))</f>
        <v/>
      </c>
      <c r="V52" s="227" t="str">
        <f>IF(ISERROR(VALUE(RIGHT(J52,1))),"",VALUE(RIGHT(J52,1)))</f>
        <v/>
      </c>
      <c r="W52" s="227" t="str">
        <f>IF(ISERROR(VALUE(RIGHT(K52,1))),"",VALUE(RIGHT(K52,1)))</f>
        <v/>
      </c>
      <c r="X52" s="228"/>
      <c r="Y52" s="229" t="str">
        <f t="shared" si="10"/>
        <v/>
      </c>
      <c r="Z52" s="230" t="str">
        <f t="shared" si="23"/>
        <v/>
      </c>
      <c r="AA52" s="231" t="str">
        <f t="shared" si="24"/>
        <v/>
      </c>
      <c r="AB52" s="232" t="str">
        <f t="shared" si="25"/>
        <v/>
      </c>
      <c r="AC52" s="233" t="str">
        <f t="shared" si="26"/>
        <v/>
      </c>
      <c r="AD52" s="231" t="str">
        <f>IF(B52&gt;0,SUM(X47:X52),"")</f>
        <v/>
      </c>
      <c r="AE52" s="234" t="str">
        <f t="shared" si="12"/>
        <v/>
      </c>
      <c r="AF52" s="234" t="str">
        <f>IF(ISERROR(D52),"",D52)</f>
        <v/>
      </c>
      <c r="AG52" s="243"/>
      <c r="AH52" s="246" t="str">
        <f t="shared" si="14"/>
        <v/>
      </c>
      <c r="AM52" s="235">
        <f>IF(R47="V",IF(M52="D",0,1),IF(R47="D",IF(M52="V",0,1),1))</f>
        <v>1</v>
      </c>
      <c r="AN52" s="236">
        <f>IF(R48="V",IF(N52="D",0,1),IF(R48="D",IF(N52="V",0,1),1))</f>
        <v>1</v>
      </c>
      <c r="AO52" s="236">
        <f>IF(R49="V",IF(O52="D",0,1),IF(R49="D",IF(O52="V",0,1),1))</f>
        <v>1</v>
      </c>
      <c r="AP52" s="236">
        <f>IF(R50="V",IF(P52="D",0,1),IF(R50="D",IF(P52="V",0,1),1))</f>
        <v>1</v>
      </c>
      <c r="AQ52" s="236">
        <f>IF(R51="V",IF(Q52="D",0,1),IF(R51="D",IF(Q52="V",0,1),1))</f>
        <v>1</v>
      </c>
      <c r="AR52" s="237"/>
    </row>
    <row r="53" spans="1:44" ht="12" customHeight="1">
      <c r="A53" s="175">
        <v>9</v>
      </c>
      <c r="B53" s="176">
        <v>9</v>
      </c>
      <c r="C53" s="177">
        <f>IF(F53="","",1)</f>
        <v>1</v>
      </c>
      <c r="D53" s="178">
        <f t="shared" si="20"/>
        <v>9</v>
      </c>
      <c r="E53" s="179" t="str">
        <f t="shared" si="21"/>
        <v>法政大第二中学</v>
      </c>
      <c r="F53" s="180" t="str">
        <f t="shared" si="22"/>
        <v>安井　琥珀</v>
      </c>
      <c r="G53" s="181"/>
      <c r="H53" s="182" t="s">
        <v>212</v>
      </c>
      <c r="I53" s="182" t="s">
        <v>203</v>
      </c>
      <c r="J53" s="182" t="s">
        <v>199</v>
      </c>
      <c r="K53" s="182" t="s">
        <v>213</v>
      </c>
      <c r="L53" s="183"/>
      <c r="M53" s="184"/>
      <c r="N53" s="185" t="str">
        <f>LEFT(H53,1)</f>
        <v>v</v>
      </c>
      <c r="O53" s="185" t="str">
        <f>LEFT(I53,1)</f>
        <v>v</v>
      </c>
      <c r="P53" s="185" t="str">
        <f>LEFT(J53,1)</f>
        <v>v</v>
      </c>
      <c r="Q53" s="185" t="str">
        <f>LEFT(K53,1)</f>
        <v>v</v>
      </c>
      <c r="R53" s="186" t="str">
        <f t="shared" si="15"/>
        <v/>
      </c>
      <c r="S53" s="184"/>
      <c r="T53" s="185">
        <f>IF(ISERROR(VALUE(RIGHT(H53,1))),"",VALUE(RIGHT(H53,1)))</f>
        <v>4</v>
      </c>
      <c r="U53" s="185">
        <f>IF(ISERROR(VALUE(RIGHT(I53,1))),"",VALUE(RIGHT(I53,1)))</f>
        <v>5</v>
      </c>
      <c r="V53" s="185">
        <f>IF(ISERROR(VALUE(RIGHT(J53,1))),"",VALUE(RIGHT(J53,1)))</f>
        <v>5</v>
      </c>
      <c r="W53" s="185">
        <f>IF(ISERROR(VALUE(RIGHT(K53,1))),"",VALUE(RIGHT(K53,1)))</f>
        <v>5</v>
      </c>
      <c r="X53" s="186" t="str">
        <f>IF(ISERROR(VALUE(RIGHT(L53,1))),"",VALUE(RIGHT(L53,1)))</f>
        <v/>
      </c>
      <c r="Y53" s="187">
        <f t="shared" si="10"/>
        <v>9</v>
      </c>
      <c r="Z53" s="188">
        <f t="shared" si="23"/>
        <v>4</v>
      </c>
      <c r="AA53" s="189">
        <f t="shared" si="24"/>
        <v>4</v>
      </c>
      <c r="AB53" s="190">
        <f t="shared" si="25"/>
        <v>1</v>
      </c>
      <c r="AC53" s="191">
        <f t="shared" si="26"/>
        <v>19</v>
      </c>
      <c r="AD53" s="189">
        <f>IF(B53&gt;0,SUM(S53:S58),"")</f>
        <v>6</v>
      </c>
      <c r="AE53" s="178">
        <f t="shared" si="12"/>
        <v>13</v>
      </c>
      <c r="AF53" s="178">
        <f>IF(ISERROR(D53),"",D53)</f>
        <v>9</v>
      </c>
      <c r="AG53" s="241"/>
      <c r="AH53" s="244">
        <f t="shared" si="14"/>
        <v>101319181</v>
      </c>
      <c r="AM53" s="193"/>
      <c r="AN53" s="194">
        <f>IF(N53="V",IF(M54="D",0,1),IF(N53="D",IF(M54="V",0,1),1))</f>
        <v>1</v>
      </c>
      <c r="AO53" s="194">
        <f>IF(O53="V",IF(M55="D",0,1),IF(O53="D",IF(M55="V",0,1),1))</f>
        <v>1</v>
      </c>
      <c r="AP53" s="194">
        <f>IF(P53="V",IF(M56="D",0,1),IF(P53="D",IF(M56="V",0,1),1))</f>
        <v>1</v>
      </c>
      <c r="AQ53" s="194">
        <f>IF(Q53="V",IF(M57="D",0,1),IF(Q53="D",IF(M57="V",0,1),1))</f>
        <v>1</v>
      </c>
      <c r="AR53" s="195">
        <f>IF(R53="V",IF(M58="D",0,1),IF(R53="D",IF(M58="V",0,1),1))</f>
        <v>1</v>
      </c>
    </row>
    <row r="54" spans="1:44" ht="12" customHeight="1">
      <c r="A54" s="196">
        <f>IF(B54="","",9)</f>
        <v>9</v>
      </c>
      <c r="B54" s="197">
        <v>10</v>
      </c>
      <c r="C54" s="198">
        <f>IF(F54="","",2)</f>
        <v>2</v>
      </c>
      <c r="D54" s="199">
        <f t="shared" si="20"/>
        <v>13</v>
      </c>
      <c r="E54" s="200" t="str">
        <f t="shared" si="21"/>
        <v>はしまモア</v>
      </c>
      <c r="F54" s="201" t="str">
        <f t="shared" si="22"/>
        <v>奥田　玲大</v>
      </c>
      <c r="G54" s="202">
        <v>3</v>
      </c>
      <c r="H54" s="203"/>
      <c r="I54" s="204" t="s">
        <v>199</v>
      </c>
      <c r="J54" s="204" t="s">
        <v>199</v>
      </c>
      <c r="K54" s="204" t="s">
        <v>203</v>
      </c>
      <c r="L54" s="205"/>
      <c r="M54" s="206" t="str">
        <f>LEFT(G54,1)</f>
        <v>3</v>
      </c>
      <c r="N54" s="207"/>
      <c r="O54" s="207" t="str">
        <f>LEFT(I54,1)</f>
        <v>v</v>
      </c>
      <c r="P54" s="207" t="str">
        <f>LEFT(J54,1)</f>
        <v>v</v>
      </c>
      <c r="Q54" s="207" t="str">
        <f>LEFT(K54,1)</f>
        <v>v</v>
      </c>
      <c r="R54" s="208" t="str">
        <f t="shared" si="15"/>
        <v/>
      </c>
      <c r="S54" s="206">
        <f>IF(ISERROR(VALUE(RIGHT(G54,1))),"",VALUE(RIGHT(G54,1)))</f>
        <v>3</v>
      </c>
      <c r="T54" s="207"/>
      <c r="U54" s="207">
        <f>IF(ISERROR(VALUE(RIGHT(I54,1))),"",VALUE(RIGHT(I54,1)))</f>
        <v>5</v>
      </c>
      <c r="V54" s="207">
        <f>IF(ISERROR(VALUE(RIGHT(J54,1))),"",VALUE(RIGHT(J54,1)))</f>
        <v>5</v>
      </c>
      <c r="W54" s="207">
        <f>IF(ISERROR(VALUE(RIGHT(K54,1))),"",VALUE(RIGHT(K54,1)))</f>
        <v>5</v>
      </c>
      <c r="X54" s="208" t="str">
        <f>IF(ISERROR(VALUE(RIGHT(L54,1))),"",VALUE(RIGHT(L54,1)))</f>
        <v/>
      </c>
      <c r="Y54" s="209">
        <f t="shared" si="10"/>
        <v>13</v>
      </c>
      <c r="Z54" s="210">
        <f t="shared" si="23"/>
        <v>4</v>
      </c>
      <c r="AA54" s="211">
        <f t="shared" si="24"/>
        <v>3</v>
      </c>
      <c r="AB54" s="212">
        <f t="shared" si="25"/>
        <v>0.75</v>
      </c>
      <c r="AC54" s="213">
        <f t="shared" si="26"/>
        <v>18</v>
      </c>
      <c r="AD54" s="211">
        <f>IF(B54&gt;0,SUM(T53:T58),"")</f>
        <v>8</v>
      </c>
      <c r="AE54" s="199">
        <f t="shared" si="12"/>
        <v>10</v>
      </c>
      <c r="AF54" s="199">
        <f t="shared" si="28"/>
        <v>13</v>
      </c>
      <c r="AG54" s="242"/>
      <c r="AH54" s="245">
        <f t="shared" si="14"/>
        <v>76018170</v>
      </c>
      <c r="AM54" s="214">
        <f>IF(N53="V",IF(M54="D",0,1),IF(N53="D",IF(M54="V",0,1),1))</f>
        <v>1</v>
      </c>
      <c r="AN54" s="215"/>
      <c r="AO54" s="215">
        <f>IF(O54="V",IF(N55="D",0,1),IF(O54="D",IF(N55="V",0,1),1))</f>
        <v>1</v>
      </c>
      <c r="AP54" s="215">
        <f>IF(P54="V",IF(N56="D",0,1),IF(P54="D",IF(N56="V",0,1),1))</f>
        <v>1</v>
      </c>
      <c r="AQ54" s="215">
        <f>IF(Q54="V",IF(N57="D",0,1),IF(Q54="D",IF(N57="V",0,1),1))</f>
        <v>1</v>
      </c>
      <c r="AR54" s="216">
        <f>IF(R54="V",IF(N58="D",0,1),IF(R54="D",IF(N58="V",0,1),1))</f>
        <v>1</v>
      </c>
    </row>
    <row r="55" spans="1:44" ht="12" customHeight="1">
      <c r="A55" s="196">
        <f>IF(B55="","",9)</f>
        <v>9</v>
      </c>
      <c r="B55" s="197">
        <v>22</v>
      </c>
      <c r="C55" s="198">
        <f>IF(F55="","",3)</f>
        <v>3</v>
      </c>
      <c r="D55" s="199">
        <f t="shared" si="20"/>
        <v>37</v>
      </c>
      <c r="E55" s="200" t="str">
        <f t="shared" si="21"/>
        <v>速星中学校</v>
      </c>
      <c r="F55" s="201" t="str">
        <f t="shared" si="22"/>
        <v>山崎　竜聖</v>
      </c>
      <c r="G55" s="202">
        <v>0</v>
      </c>
      <c r="H55" s="204">
        <v>2</v>
      </c>
      <c r="I55" s="203"/>
      <c r="J55" s="204">
        <v>0</v>
      </c>
      <c r="K55" s="204" t="s">
        <v>199</v>
      </c>
      <c r="L55" s="205"/>
      <c r="M55" s="206" t="str">
        <f>LEFT(G55,1)</f>
        <v>0</v>
      </c>
      <c r="N55" s="207" t="str">
        <f>LEFT(H55,1)</f>
        <v>2</v>
      </c>
      <c r="O55" s="207"/>
      <c r="P55" s="207" t="str">
        <f>LEFT(J55,1)</f>
        <v>0</v>
      </c>
      <c r="Q55" s="207" t="str">
        <f>LEFT(K55,1)</f>
        <v>v</v>
      </c>
      <c r="R55" s="208" t="str">
        <f t="shared" si="15"/>
        <v/>
      </c>
      <c r="S55" s="206">
        <f>IF(ISERROR(VALUE(RIGHT(G55,1))),"",VALUE(RIGHT(G55,1)))</f>
        <v>0</v>
      </c>
      <c r="T55" s="207">
        <f>IF(ISERROR(VALUE(RIGHT(H55,1))),"",VALUE(RIGHT(H55,1)))</f>
        <v>2</v>
      </c>
      <c r="U55" s="207"/>
      <c r="V55" s="207">
        <f>IF(ISERROR(VALUE(RIGHT(J55,1))),"",VALUE(RIGHT(J55,1)))</f>
        <v>0</v>
      </c>
      <c r="W55" s="207">
        <f>IF(ISERROR(VALUE(RIGHT(K55,1))),"",VALUE(RIGHT(K55,1)))</f>
        <v>5</v>
      </c>
      <c r="X55" s="208" t="str">
        <f>IF(ISERROR(VALUE(RIGHT(L55,1))),"",VALUE(RIGHT(L55,1)))</f>
        <v/>
      </c>
      <c r="Y55" s="209">
        <f t="shared" si="10"/>
        <v>37</v>
      </c>
      <c r="Z55" s="210">
        <f t="shared" si="23"/>
        <v>4</v>
      </c>
      <c r="AA55" s="211">
        <f t="shared" si="24"/>
        <v>1</v>
      </c>
      <c r="AB55" s="212">
        <f t="shared" si="25"/>
        <v>0.25</v>
      </c>
      <c r="AC55" s="213">
        <f t="shared" si="26"/>
        <v>7</v>
      </c>
      <c r="AD55" s="211">
        <f>IF(B55&gt;0,SUM(U53:U58),"")</f>
        <v>17</v>
      </c>
      <c r="AE55" s="199">
        <f t="shared" si="12"/>
        <v>-10</v>
      </c>
      <c r="AF55" s="199">
        <f t="shared" si="28"/>
        <v>37</v>
      </c>
      <c r="AG55" s="242"/>
      <c r="AH55" s="245">
        <f t="shared" si="14"/>
        <v>24007048</v>
      </c>
      <c r="AM55" s="214">
        <f>IF(O53="V",IF(M55="D",0,1),IF(O53="D",IF(M55="V",0,1),1))</f>
        <v>1</v>
      </c>
      <c r="AN55" s="215">
        <f>IF(O54="V",IF(N55="D",0,1),IF(O54="D",IF(N55="V",0,1),1))</f>
        <v>1</v>
      </c>
      <c r="AO55" s="215"/>
      <c r="AP55" s="215">
        <f>IF(P55="V",IF(O56="D",0,1),IF(P55="D",IF(O56="V",0,1),1))</f>
        <v>1</v>
      </c>
      <c r="AQ55" s="215">
        <f>IF(Q55="V",IF(O57="D",0,1),IF(Q55="D",IF(O57="V",0,1),1))</f>
        <v>1</v>
      </c>
      <c r="AR55" s="216">
        <f>IF(R55="V",IF(O58="D",0,1),IF(R55="D",IF(O58="V",0,1),1))</f>
        <v>1</v>
      </c>
    </row>
    <row r="56" spans="1:44" ht="12" customHeight="1">
      <c r="A56" s="196">
        <f>IF(B56="","",9)</f>
        <v>9</v>
      </c>
      <c r="B56" s="197">
        <v>28</v>
      </c>
      <c r="C56" s="198">
        <f>IF(F56="","",4)</f>
        <v>4</v>
      </c>
      <c r="D56" s="199">
        <f t="shared" si="20"/>
        <v>26</v>
      </c>
      <c r="E56" s="200" t="str">
        <f t="shared" si="21"/>
        <v>滋賀ＪＦＣ</v>
      </c>
      <c r="F56" s="201" t="str">
        <f t="shared" si="22"/>
        <v>白川　柊毅</v>
      </c>
      <c r="G56" s="202">
        <v>3</v>
      </c>
      <c r="H56" s="204">
        <v>1</v>
      </c>
      <c r="I56" s="204" t="s">
        <v>199</v>
      </c>
      <c r="J56" s="203"/>
      <c r="K56" s="204" t="s">
        <v>199</v>
      </c>
      <c r="L56" s="205"/>
      <c r="M56" s="206" t="str">
        <f>LEFT(G56,1)</f>
        <v>3</v>
      </c>
      <c r="N56" s="207" t="str">
        <f>LEFT(H56,1)</f>
        <v>1</v>
      </c>
      <c r="O56" s="207" t="str">
        <f>LEFT(I56,1)</f>
        <v>v</v>
      </c>
      <c r="P56" s="207"/>
      <c r="Q56" s="207" t="str">
        <f>LEFT(K56,1)</f>
        <v>v</v>
      </c>
      <c r="R56" s="208" t="str">
        <f t="shared" si="15"/>
        <v/>
      </c>
      <c r="S56" s="206">
        <f>IF(ISERROR(VALUE(RIGHT(G56,1))),"",VALUE(RIGHT(G56,1)))</f>
        <v>3</v>
      </c>
      <c r="T56" s="207">
        <f>IF(ISERROR(VALUE(RIGHT(H56,1))),"",VALUE(RIGHT(H56,1)))</f>
        <v>1</v>
      </c>
      <c r="U56" s="207">
        <f>IF(ISERROR(VALUE(RIGHT(I56,1))),"",VALUE(RIGHT(I56,1)))</f>
        <v>5</v>
      </c>
      <c r="V56" s="207"/>
      <c r="W56" s="207">
        <f>IF(ISERROR(VALUE(RIGHT(K56,1))),"",VALUE(RIGHT(K56,1)))</f>
        <v>5</v>
      </c>
      <c r="X56" s="208" t="str">
        <f>IF(ISERROR(VALUE(RIGHT(L56,1))),"",VALUE(RIGHT(L56,1)))</f>
        <v/>
      </c>
      <c r="Y56" s="209">
        <f t="shared" si="10"/>
        <v>26</v>
      </c>
      <c r="Z56" s="210">
        <f t="shared" si="23"/>
        <v>4</v>
      </c>
      <c r="AA56" s="211">
        <f t="shared" si="24"/>
        <v>2</v>
      </c>
      <c r="AB56" s="212">
        <f t="shared" si="25"/>
        <v>0.5</v>
      </c>
      <c r="AC56" s="213">
        <f t="shared" si="26"/>
        <v>14</v>
      </c>
      <c r="AD56" s="211">
        <f>IF(B56&gt;0,SUM(V53:V58),"")</f>
        <v>14</v>
      </c>
      <c r="AE56" s="199">
        <f t="shared" si="12"/>
        <v>0</v>
      </c>
      <c r="AF56" s="199">
        <f t="shared" si="28"/>
        <v>26</v>
      </c>
      <c r="AG56" s="242"/>
      <c r="AH56" s="245">
        <f t="shared" si="14"/>
        <v>50014112</v>
      </c>
      <c r="AM56" s="214">
        <f>IF(P53="V",IF(M56="D",0,1),IF(P53="D",IF(M56="V",0,1),1))</f>
        <v>1</v>
      </c>
      <c r="AN56" s="215">
        <f>IF(P54="V",IF(N56="D",0,1),IF(P54="D",IF(N56="V",0,1),1))</f>
        <v>1</v>
      </c>
      <c r="AO56" s="215">
        <f>IF(P55="V",IF(O56="D",0,1),IF(P55="D",IF(O56="V",0,1),1))</f>
        <v>1</v>
      </c>
      <c r="AP56" s="215"/>
      <c r="AQ56" s="215">
        <f>IF(Q56="V",IF(P57="D",0,1),IF(Q56="D",IF(P57="V",0,1),1))</f>
        <v>1</v>
      </c>
      <c r="AR56" s="216">
        <f>IF(R56="V",IF(P58="D",0,1),IF(R56="D",IF(P58="V",0,1),1))</f>
        <v>1</v>
      </c>
    </row>
    <row r="57" spans="1:44" ht="12" customHeight="1">
      <c r="A57" s="196">
        <f>IF(B57="","",9)</f>
        <v>9</v>
      </c>
      <c r="B57" s="197">
        <v>44</v>
      </c>
      <c r="C57" s="198">
        <f>IF(F57="","",5)</f>
        <v>5</v>
      </c>
      <c r="D57" s="199">
        <f t="shared" si="20"/>
        <v>44</v>
      </c>
      <c r="E57" s="200" t="str">
        <f t="shared" si="21"/>
        <v>養老ＦＣ</v>
      </c>
      <c r="F57" s="201" t="str">
        <f t="shared" si="22"/>
        <v>北川　虎侑</v>
      </c>
      <c r="G57" s="202">
        <v>0</v>
      </c>
      <c r="H57" s="204">
        <v>1</v>
      </c>
      <c r="I57" s="204">
        <v>2</v>
      </c>
      <c r="J57" s="204">
        <v>4</v>
      </c>
      <c r="K57" s="203"/>
      <c r="L57" s="205"/>
      <c r="M57" s="206" t="str">
        <f>LEFT(G57,1)</f>
        <v>0</v>
      </c>
      <c r="N57" s="207" t="str">
        <f>LEFT(H57,1)</f>
        <v>1</v>
      </c>
      <c r="O57" s="207" t="str">
        <f>LEFT(I57,1)</f>
        <v>2</v>
      </c>
      <c r="P57" s="207" t="str">
        <f>LEFT(J57,1)</f>
        <v>4</v>
      </c>
      <c r="Q57" s="207"/>
      <c r="R57" s="208" t="str">
        <f t="shared" si="15"/>
        <v/>
      </c>
      <c r="S57" s="206">
        <f>IF(ISERROR(VALUE(RIGHT(G57,1))),"",VALUE(RIGHT(G57,1)))</f>
        <v>0</v>
      </c>
      <c r="T57" s="207">
        <f>IF(ISERROR(VALUE(RIGHT(H57,1))),"",VALUE(RIGHT(H57,1)))</f>
        <v>1</v>
      </c>
      <c r="U57" s="207">
        <f>IF(ISERROR(VALUE(RIGHT(I57,1))),"",VALUE(RIGHT(I57,1)))</f>
        <v>2</v>
      </c>
      <c r="V57" s="207">
        <f>IF(ISERROR(VALUE(RIGHT(J57,1))),"",VALUE(RIGHT(J57,1)))</f>
        <v>4</v>
      </c>
      <c r="W57" s="207"/>
      <c r="X57" s="208" t="str">
        <f>IF(ISERROR(VALUE(RIGHT(L57,1))),"",VALUE(RIGHT(L57,1)))</f>
        <v/>
      </c>
      <c r="Y57" s="209">
        <f t="shared" si="10"/>
        <v>44</v>
      </c>
      <c r="Z57" s="210">
        <f t="shared" si="23"/>
        <v>4</v>
      </c>
      <c r="AA57" s="211">
        <f t="shared" si="24"/>
        <v>0</v>
      </c>
      <c r="AB57" s="212">
        <f t="shared" si="25"/>
        <v>0</v>
      </c>
      <c r="AC57" s="213">
        <f t="shared" si="26"/>
        <v>7</v>
      </c>
      <c r="AD57" s="211">
        <f>IF(B57&gt;0,SUM(W53:W58),"")</f>
        <v>20</v>
      </c>
      <c r="AE57" s="199">
        <f t="shared" si="12"/>
        <v>-13</v>
      </c>
      <c r="AF57" s="199">
        <f t="shared" si="28"/>
        <v>44</v>
      </c>
      <c r="AG57" s="242"/>
      <c r="AH57" s="245">
        <f t="shared" si="14"/>
        <v>-1292974</v>
      </c>
      <c r="AM57" s="214">
        <f>IF(Q53="V",IF(M57="D",0,1),IF(Q53="D",IF(M57="V",0,1),1))</f>
        <v>1</v>
      </c>
      <c r="AN57" s="215">
        <f>IF(Q54="V",IF(N57="D",0,1),IF(Q54="D",IF(N57="V",0,1),1))</f>
        <v>1</v>
      </c>
      <c r="AO57" s="215">
        <f>IF(Q55="V",IF(O57="D",0,1),IF(Q55="D",IF(O57="V",0,1),1))</f>
        <v>1</v>
      </c>
      <c r="AP57" s="215">
        <f>IF(Q56="V",IF(P57="D",0,1),IF(Q56="D",IF(P57="V",0,1),1))</f>
        <v>1</v>
      </c>
      <c r="AQ57" s="215"/>
      <c r="AR57" s="216">
        <f>IF(R57="V",IF(Q58="D",0,1),IF(R57="D",IF(Q58="V",0,1),1))</f>
        <v>1</v>
      </c>
    </row>
    <row r="58" spans="1:44" ht="12" customHeight="1">
      <c r="A58" s="217" t="str">
        <f>IF(B58="","",9)</f>
        <v/>
      </c>
      <c r="B58" s="218"/>
      <c r="C58" s="219" t="str">
        <f>IF(F58="","",6)</f>
        <v/>
      </c>
      <c r="D58" s="220" t="str">
        <f t="shared" si="20"/>
        <v/>
      </c>
      <c r="E58" s="221" t="str">
        <f t="shared" si="21"/>
        <v/>
      </c>
      <c r="F58" s="222" t="str">
        <f t="shared" si="22"/>
        <v/>
      </c>
      <c r="G58" s="223"/>
      <c r="H58" s="224"/>
      <c r="I58" s="224"/>
      <c r="J58" s="224"/>
      <c r="K58" s="224"/>
      <c r="L58" s="225"/>
      <c r="M58" s="226" t="str">
        <f>LEFT(G58,1)</f>
        <v/>
      </c>
      <c r="N58" s="227" t="str">
        <f>LEFT(H58,1)</f>
        <v/>
      </c>
      <c r="O58" s="227" t="str">
        <f>LEFT(I58,1)</f>
        <v/>
      </c>
      <c r="P58" s="227" t="str">
        <f>LEFT(J58,1)</f>
        <v/>
      </c>
      <c r="Q58" s="227" t="str">
        <f>LEFT(K58,1)</f>
        <v/>
      </c>
      <c r="R58" s="228" t="str">
        <f t="shared" si="15"/>
        <v/>
      </c>
      <c r="S58" s="226" t="str">
        <f>IF(ISERROR(VALUE(RIGHT(G58,1))),"",VALUE(RIGHT(G58,1)))</f>
        <v/>
      </c>
      <c r="T58" s="227" t="str">
        <f>IF(ISERROR(VALUE(RIGHT(H58,1))),"",VALUE(RIGHT(H58,1)))</f>
        <v/>
      </c>
      <c r="U58" s="227" t="str">
        <f>IF(ISERROR(VALUE(RIGHT(I58,1))),"",VALUE(RIGHT(I58,1)))</f>
        <v/>
      </c>
      <c r="V58" s="227" t="str">
        <f>IF(ISERROR(VALUE(RIGHT(J58,1))),"",VALUE(RIGHT(J58,1)))</f>
        <v/>
      </c>
      <c r="W58" s="227" t="str">
        <f>IF(ISERROR(VALUE(RIGHT(K58,1))),"",VALUE(RIGHT(K58,1)))</f>
        <v/>
      </c>
      <c r="X58" s="228"/>
      <c r="Y58" s="229" t="str">
        <f t="shared" si="10"/>
        <v/>
      </c>
      <c r="Z58" s="230" t="str">
        <f t="shared" si="23"/>
        <v/>
      </c>
      <c r="AA58" s="231" t="str">
        <f t="shared" si="24"/>
        <v/>
      </c>
      <c r="AB58" s="232" t="str">
        <f t="shared" si="25"/>
        <v/>
      </c>
      <c r="AC58" s="233" t="str">
        <f t="shared" si="26"/>
        <v/>
      </c>
      <c r="AD58" s="231" t="str">
        <f>IF(B58&gt;0,SUM(X53:X58),"")</f>
        <v/>
      </c>
      <c r="AE58" s="234" t="str">
        <f t="shared" si="12"/>
        <v/>
      </c>
      <c r="AF58" s="234" t="str">
        <f>IF(ISERROR(D58),"",D58)</f>
        <v/>
      </c>
      <c r="AG58" s="243"/>
      <c r="AH58" s="246" t="str">
        <f t="shared" si="14"/>
        <v/>
      </c>
      <c r="AM58" s="235">
        <f>IF(R53="V",IF(M58="D",0,1),IF(R53="D",IF(M58="V",0,1),1))</f>
        <v>1</v>
      </c>
      <c r="AN58" s="236">
        <f>IF(R54="V",IF(N58="D",0,1),IF(R54="D",IF(N58="V",0,1),1))</f>
        <v>1</v>
      </c>
      <c r="AO58" s="236">
        <f>IF(R55="V",IF(O58="D",0,1),IF(R55="D",IF(O58="V",0,1),1))</f>
        <v>1</v>
      </c>
      <c r="AP58" s="236">
        <f>IF(R56="V",IF(P58="D",0,1),IF(R56="D",IF(P58="V",0,1),1))</f>
        <v>1</v>
      </c>
      <c r="AQ58" s="236">
        <f>IF(R57="V",IF(Q58="D",0,1),IF(R57="D",IF(Q58="V",0,1),1))</f>
        <v>1</v>
      </c>
      <c r="AR58" s="237"/>
    </row>
    <row r="59" spans="1:44" ht="12" customHeight="1">
      <c r="A59" s="175">
        <v>10</v>
      </c>
      <c r="B59" s="176"/>
      <c r="C59" s="177" t="str">
        <f>IF(F59="","",1)</f>
        <v/>
      </c>
      <c r="D59" s="178" t="str">
        <f t="shared" si="20"/>
        <v/>
      </c>
      <c r="E59" s="179" t="str">
        <f t="shared" si="21"/>
        <v/>
      </c>
      <c r="F59" s="180" t="str">
        <f t="shared" si="22"/>
        <v/>
      </c>
      <c r="G59" s="181"/>
      <c r="H59" s="182"/>
      <c r="I59" s="182"/>
      <c r="J59" s="182"/>
      <c r="K59" s="182"/>
      <c r="L59" s="183"/>
      <c r="M59" s="184"/>
      <c r="N59" s="185" t="str">
        <f>LEFT(H59,1)</f>
        <v/>
      </c>
      <c r="O59" s="185" t="str">
        <f>LEFT(I59,1)</f>
        <v/>
      </c>
      <c r="P59" s="185" t="str">
        <f>LEFT(J59,1)</f>
        <v/>
      </c>
      <c r="Q59" s="185" t="str">
        <f>LEFT(K59,1)</f>
        <v/>
      </c>
      <c r="R59" s="186" t="str">
        <f t="shared" ref="R59:R64" si="29">LEFT(L59,1)</f>
        <v/>
      </c>
      <c r="S59" s="184"/>
      <c r="T59" s="185" t="str">
        <f>IF(ISERROR(VALUE(RIGHT(H59,1))),"",VALUE(RIGHT(H59,1)))</f>
        <v/>
      </c>
      <c r="U59" s="185" t="str">
        <f>IF(ISERROR(VALUE(RIGHT(I59,1))),"",VALUE(RIGHT(I59,1)))</f>
        <v/>
      </c>
      <c r="V59" s="185" t="str">
        <f>IF(ISERROR(VALUE(RIGHT(J59,1))),"",VALUE(RIGHT(J59,1)))</f>
        <v/>
      </c>
      <c r="W59" s="185" t="str">
        <f>IF(ISERROR(VALUE(RIGHT(K59,1))),"",VALUE(RIGHT(K59,1)))</f>
        <v/>
      </c>
      <c r="X59" s="186" t="str">
        <f>IF(ISERROR(VALUE(RIGHT(L59,1))),"",VALUE(RIGHT(L59,1)))</f>
        <v/>
      </c>
      <c r="Y59" s="187" t="str">
        <f t="shared" si="10"/>
        <v/>
      </c>
      <c r="Z59" s="188" t="str">
        <f t="shared" si="23"/>
        <v/>
      </c>
      <c r="AA59" s="189" t="str">
        <f t="shared" si="24"/>
        <v/>
      </c>
      <c r="AB59" s="190" t="str">
        <f t="shared" ref="AB59:AB64" si="30">IF(ISERROR(ROUND(AA59/Z59,3)),"",ROUND(AA59/Z59,3))</f>
        <v/>
      </c>
      <c r="AC59" s="191" t="str">
        <f t="shared" si="26"/>
        <v/>
      </c>
      <c r="AD59" s="189" t="str">
        <f>IF(B59&gt;0,SUM(S59:S64),"")</f>
        <v/>
      </c>
      <c r="AE59" s="178" t="str">
        <f t="shared" si="12"/>
        <v/>
      </c>
      <c r="AF59" s="178" t="str">
        <f>IF(ISERROR(D59),"",D59)</f>
        <v/>
      </c>
      <c r="AG59" s="241"/>
      <c r="AH59" s="244" t="str">
        <f t="shared" si="14"/>
        <v/>
      </c>
      <c r="AM59" s="193"/>
      <c r="AN59" s="194">
        <f>IF(N59="V",IF(M60="D",0,1),IF(N59="D",IF(M60="V",0,1),1))</f>
        <v>1</v>
      </c>
      <c r="AO59" s="194">
        <f>IF(O59="V",IF(M61="D",0,1),IF(O59="D",IF(M61="V",0,1),1))</f>
        <v>1</v>
      </c>
      <c r="AP59" s="194">
        <f>IF(P59="V",IF(M62="D",0,1),IF(P59="D",IF(M62="V",0,1),1))</f>
        <v>1</v>
      </c>
      <c r="AQ59" s="194">
        <f>IF(Q59="V",IF(M63="D",0,1),IF(Q59="D",IF(M63="V",0,1),1))</f>
        <v>1</v>
      </c>
      <c r="AR59" s="195">
        <f>IF(R59="V",IF(M64="D",0,1),IF(R59="D",IF(M64="V",0,1),1))</f>
        <v>1</v>
      </c>
    </row>
    <row r="60" spans="1:44" ht="12" customHeight="1">
      <c r="A60" s="196" t="str">
        <f>IF(B60="","",10)</f>
        <v/>
      </c>
      <c r="B60" s="197"/>
      <c r="C60" s="198" t="str">
        <f>IF(F60="","",2)</f>
        <v/>
      </c>
      <c r="D60" s="199" t="str">
        <f t="shared" si="20"/>
        <v/>
      </c>
      <c r="E60" s="200" t="str">
        <f t="shared" si="21"/>
        <v/>
      </c>
      <c r="F60" s="201" t="str">
        <f t="shared" si="22"/>
        <v/>
      </c>
      <c r="G60" s="202"/>
      <c r="H60" s="203"/>
      <c r="I60" s="204"/>
      <c r="J60" s="204"/>
      <c r="K60" s="204"/>
      <c r="L60" s="205"/>
      <c r="M60" s="206" t="str">
        <f>LEFT(G60,1)</f>
        <v/>
      </c>
      <c r="N60" s="207"/>
      <c r="O60" s="207" t="str">
        <f>LEFT(I60,1)</f>
        <v/>
      </c>
      <c r="P60" s="207" t="str">
        <f>LEFT(J60,1)</f>
        <v/>
      </c>
      <c r="Q60" s="207" t="str">
        <f>LEFT(K60,1)</f>
        <v/>
      </c>
      <c r="R60" s="208" t="str">
        <f t="shared" si="29"/>
        <v/>
      </c>
      <c r="S60" s="206" t="str">
        <f>IF(ISERROR(VALUE(RIGHT(G60,1))),"",VALUE(RIGHT(G60,1)))</f>
        <v/>
      </c>
      <c r="T60" s="207"/>
      <c r="U60" s="207" t="str">
        <f>IF(ISERROR(VALUE(RIGHT(I60,1))),"",VALUE(RIGHT(I60,1)))</f>
        <v/>
      </c>
      <c r="V60" s="207" t="str">
        <f>IF(ISERROR(VALUE(RIGHT(J60,1))),"",VALUE(RIGHT(J60,1)))</f>
        <v/>
      </c>
      <c r="W60" s="207" t="str">
        <f>IF(ISERROR(VALUE(RIGHT(K60,1))),"",VALUE(RIGHT(K60,1)))</f>
        <v/>
      </c>
      <c r="X60" s="208" t="str">
        <f>IF(ISERROR(VALUE(RIGHT(L60,1))),"",VALUE(RIGHT(L60,1)))</f>
        <v/>
      </c>
      <c r="Y60" s="209" t="str">
        <f t="shared" si="10"/>
        <v/>
      </c>
      <c r="Z60" s="210" t="str">
        <f t="shared" si="23"/>
        <v/>
      </c>
      <c r="AA60" s="211" t="str">
        <f t="shared" si="24"/>
        <v/>
      </c>
      <c r="AB60" s="212" t="str">
        <f t="shared" si="30"/>
        <v/>
      </c>
      <c r="AC60" s="213" t="str">
        <f t="shared" si="26"/>
        <v/>
      </c>
      <c r="AD60" s="211" t="str">
        <f>IF(B60&gt;0,SUM(T59:T64),"")</f>
        <v/>
      </c>
      <c r="AE60" s="199" t="str">
        <f t="shared" si="12"/>
        <v/>
      </c>
      <c r="AF60" s="199" t="str">
        <f t="shared" ref="AF60:AF63" si="31">IF(ISERROR(D60),"",D60)</f>
        <v/>
      </c>
      <c r="AG60" s="242"/>
      <c r="AH60" s="245" t="str">
        <f t="shared" si="14"/>
        <v/>
      </c>
      <c r="AM60" s="214">
        <f>IF(N59="V",IF(M60="D",0,1),IF(N59="D",IF(M60="V",0,1),1))</f>
        <v>1</v>
      </c>
      <c r="AN60" s="215"/>
      <c r="AO60" s="215">
        <f>IF(O60="V",IF(N61="D",0,1),IF(O60="D",IF(N61="V",0,1),1))</f>
        <v>1</v>
      </c>
      <c r="AP60" s="215">
        <f>IF(P60="V",IF(N62="D",0,1),IF(P60="D",IF(N62="V",0,1),1))</f>
        <v>1</v>
      </c>
      <c r="AQ60" s="215">
        <f>IF(Q60="V",IF(N63="D",0,1),IF(Q60="D",IF(N63="V",0,1),1))</f>
        <v>1</v>
      </c>
      <c r="AR60" s="216">
        <f>IF(R60="V",IF(N64="D",0,1),IF(R60="D",IF(N64="V",0,1),1))</f>
        <v>1</v>
      </c>
    </row>
    <row r="61" spans="1:44" ht="12" customHeight="1">
      <c r="A61" s="196" t="str">
        <f>IF(B61="","",10)</f>
        <v/>
      </c>
      <c r="B61" s="197"/>
      <c r="C61" s="198" t="str">
        <f>IF(F61="","",3)</f>
        <v/>
      </c>
      <c r="D61" s="199" t="str">
        <f t="shared" si="20"/>
        <v/>
      </c>
      <c r="E61" s="200" t="str">
        <f t="shared" si="21"/>
        <v/>
      </c>
      <c r="F61" s="201" t="str">
        <f t="shared" si="22"/>
        <v/>
      </c>
      <c r="G61" s="202"/>
      <c r="H61" s="204"/>
      <c r="I61" s="203"/>
      <c r="J61" s="204"/>
      <c r="K61" s="204"/>
      <c r="L61" s="205"/>
      <c r="M61" s="206" t="str">
        <f>LEFT(G61,1)</f>
        <v/>
      </c>
      <c r="N61" s="207" t="str">
        <f>LEFT(H61,1)</f>
        <v/>
      </c>
      <c r="O61" s="207"/>
      <c r="P61" s="207" t="str">
        <f>LEFT(J61,1)</f>
        <v/>
      </c>
      <c r="Q61" s="207" t="str">
        <f>LEFT(K61,1)</f>
        <v/>
      </c>
      <c r="R61" s="208" t="str">
        <f t="shared" si="29"/>
        <v/>
      </c>
      <c r="S61" s="206" t="str">
        <f>IF(ISERROR(VALUE(RIGHT(G61,1))),"",VALUE(RIGHT(G61,1)))</f>
        <v/>
      </c>
      <c r="T61" s="207" t="str">
        <f>IF(ISERROR(VALUE(RIGHT(H61,1))),"",VALUE(RIGHT(H61,1)))</f>
        <v/>
      </c>
      <c r="U61" s="207"/>
      <c r="V61" s="207" t="str">
        <f>IF(ISERROR(VALUE(RIGHT(J61,1))),"",VALUE(RIGHT(J61,1)))</f>
        <v/>
      </c>
      <c r="W61" s="207" t="str">
        <f>IF(ISERROR(VALUE(RIGHT(K61,1))),"",VALUE(RIGHT(K61,1)))</f>
        <v/>
      </c>
      <c r="X61" s="208" t="str">
        <f>IF(ISERROR(VALUE(RIGHT(L61,1))),"",VALUE(RIGHT(L61,1)))</f>
        <v/>
      </c>
      <c r="Y61" s="209" t="str">
        <f t="shared" si="10"/>
        <v/>
      </c>
      <c r="Z61" s="210" t="str">
        <f t="shared" si="23"/>
        <v/>
      </c>
      <c r="AA61" s="211" t="str">
        <f t="shared" si="24"/>
        <v/>
      </c>
      <c r="AB61" s="212" t="str">
        <f t="shared" si="30"/>
        <v/>
      </c>
      <c r="AC61" s="213" t="str">
        <f t="shared" si="26"/>
        <v/>
      </c>
      <c r="AD61" s="211" t="str">
        <f>IF(B61&gt;0,SUM(U59:U64),"")</f>
        <v/>
      </c>
      <c r="AE61" s="199" t="str">
        <f t="shared" si="12"/>
        <v/>
      </c>
      <c r="AF61" s="199" t="str">
        <f t="shared" si="31"/>
        <v/>
      </c>
      <c r="AG61" s="242"/>
      <c r="AH61" s="245" t="str">
        <f t="shared" si="14"/>
        <v/>
      </c>
      <c r="AM61" s="214">
        <f>IF(O59="V",IF(M61="D",0,1),IF(O59="D",IF(M61="V",0,1),1))</f>
        <v>1</v>
      </c>
      <c r="AN61" s="215">
        <f>IF(O60="V",IF(N61="D",0,1),IF(O60="D",IF(N61="V",0,1),1))</f>
        <v>1</v>
      </c>
      <c r="AO61" s="215"/>
      <c r="AP61" s="215">
        <f>IF(P61="V",IF(O62="D",0,1),IF(P61="D",IF(O62="V",0,1),1))</f>
        <v>1</v>
      </c>
      <c r="AQ61" s="215">
        <f>IF(Q61="V",IF(O63="D",0,1),IF(Q61="D",IF(O63="V",0,1),1))</f>
        <v>1</v>
      </c>
      <c r="AR61" s="216">
        <f>IF(R61="V",IF(O64="D",0,1),IF(R61="D",IF(O64="V",0,1),1))</f>
        <v>1</v>
      </c>
    </row>
    <row r="62" spans="1:44" ht="12" customHeight="1">
      <c r="A62" s="196" t="str">
        <f>IF(B62="","",10)</f>
        <v/>
      </c>
      <c r="B62" s="197"/>
      <c r="C62" s="198" t="str">
        <f>IF(F62="","",4)</f>
        <v/>
      </c>
      <c r="D62" s="199" t="str">
        <f t="shared" si="20"/>
        <v/>
      </c>
      <c r="E62" s="200" t="str">
        <f t="shared" si="21"/>
        <v/>
      </c>
      <c r="F62" s="201" t="str">
        <f t="shared" si="22"/>
        <v/>
      </c>
      <c r="G62" s="202"/>
      <c r="H62" s="204"/>
      <c r="I62" s="204"/>
      <c r="J62" s="203"/>
      <c r="K62" s="204"/>
      <c r="L62" s="205"/>
      <c r="M62" s="206" t="str">
        <f>LEFT(G62,1)</f>
        <v/>
      </c>
      <c r="N62" s="207" t="str">
        <f>LEFT(H62,1)</f>
        <v/>
      </c>
      <c r="O62" s="207" t="str">
        <f>LEFT(I62,1)</f>
        <v/>
      </c>
      <c r="P62" s="207"/>
      <c r="Q62" s="207" t="str">
        <f>LEFT(K62,1)</f>
        <v/>
      </c>
      <c r="R62" s="208" t="str">
        <f t="shared" si="29"/>
        <v/>
      </c>
      <c r="S62" s="206" t="str">
        <f>IF(ISERROR(VALUE(RIGHT(G62,1))),"",VALUE(RIGHT(G62,1)))</f>
        <v/>
      </c>
      <c r="T62" s="207" t="str">
        <f>IF(ISERROR(VALUE(RIGHT(H62,1))),"",VALUE(RIGHT(H62,1)))</f>
        <v/>
      </c>
      <c r="U62" s="207" t="str">
        <f>IF(ISERROR(VALUE(RIGHT(I62,1))),"",VALUE(RIGHT(I62,1)))</f>
        <v/>
      </c>
      <c r="V62" s="207"/>
      <c r="W62" s="207" t="str">
        <f>IF(ISERROR(VALUE(RIGHT(K62,1))),"",VALUE(RIGHT(K62,1)))</f>
        <v/>
      </c>
      <c r="X62" s="208" t="str">
        <f>IF(ISERROR(VALUE(RIGHT(L62,1))),"",VALUE(RIGHT(L62,1)))</f>
        <v/>
      </c>
      <c r="Y62" s="209" t="str">
        <f t="shared" si="10"/>
        <v/>
      </c>
      <c r="Z62" s="210" t="str">
        <f t="shared" si="23"/>
        <v/>
      </c>
      <c r="AA62" s="211" t="str">
        <f t="shared" si="24"/>
        <v/>
      </c>
      <c r="AB62" s="212" t="str">
        <f t="shared" si="30"/>
        <v/>
      </c>
      <c r="AC62" s="213" t="str">
        <f t="shared" si="26"/>
        <v/>
      </c>
      <c r="AD62" s="211" t="str">
        <f>IF(B62&gt;0,SUM(V59:V64),"")</f>
        <v/>
      </c>
      <c r="AE62" s="199" t="str">
        <f t="shared" si="12"/>
        <v/>
      </c>
      <c r="AF62" s="199" t="str">
        <f t="shared" si="31"/>
        <v/>
      </c>
      <c r="AG62" s="242"/>
      <c r="AH62" s="245" t="str">
        <f t="shared" si="14"/>
        <v/>
      </c>
      <c r="AM62" s="214">
        <f>IF(P59="V",IF(M62="D",0,1),IF(P59="D",IF(M62="V",0,1),1))</f>
        <v>1</v>
      </c>
      <c r="AN62" s="215">
        <f>IF(P60="V",IF(N62="D",0,1),IF(P60="D",IF(N62="V",0,1),1))</f>
        <v>1</v>
      </c>
      <c r="AO62" s="215">
        <f>IF(P61="V",IF(O62="D",0,1),IF(P61="D",IF(O62="V",0,1),1))</f>
        <v>1</v>
      </c>
      <c r="AP62" s="215"/>
      <c r="AQ62" s="215">
        <f>IF(Q62="V",IF(P63="D",0,1),IF(Q62="D",IF(P63="V",0,1),1))</f>
        <v>1</v>
      </c>
      <c r="AR62" s="216">
        <f>IF(R62="V",IF(P64="D",0,1),IF(R62="D",IF(P64="V",0,1),1))</f>
        <v>1</v>
      </c>
    </row>
    <row r="63" spans="1:44" ht="12" customHeight="1">
      <c r="A63" s="196" t="str">
        <f>IF(B63="","",10)</f>
        <v/>
      </c>
      <c r="B63" s="197"/>
      <c r="C63" s="198" t="str">
        <f>IF(F63="","",5)</f>
        <v/>
      </c>
      <c r="D63" s="199" t="str">
        <f t="shared" si="20"/>
        <v/>
      </c>
      <c r="E63" s="200" t="str">
        <f t="shared" si="21"/>
        <v/>
      </c>
      <c r="F63" s="201" t="str">
        <f t="shared" si="22"/>
        <v/>
      </c>
      <c r="G63" s="202"/>
      <c r="H63" s="204"/>
      <c r="I63" s="204"/>
      <c r="J63" s="204"/>
      <c r="K63" s="203"/>
      <c r="L63" s="205"/>
      <c r="M63" s="206" t="str">
        <f>LEFT(G63,1)</f>
        <v/>
      </c>
      <c r="N63" s="207" t="str">
        <f>LEFT(H63,1)</f>
        <v/>
      </c>
      <c r="O63" s="207" t="str">
        <f>LEFT(I63,1)</f>
        <v/>
      </c>
      <c r="P63" s="207" t="str">
        <f>LEFT(J63,1)</f>
        <v/>
      </c>
      <c r="Q63" s="207"/>
      <c r="R63" s="208" t="str">
        <f t="shared" si="29"/>
        <v/>
      </c>
      <c r="S63" s="206" t="str">
        <f>IF(ISERROR(VALUE(RIGHT(G63,1))),"",VALUE(RIGHT(G63,1)))</f>
        <v/>
      </c>
      <c r="T63" s="207" t="str">
        <f>IF(ISERROR(VALUE(RIGHT(H63,1))),"",VALUE(RIGHT(H63,1)))</f>
        <v/>
      </c>
      <c r="U63" s="207" t="str">
        <f>IF(ISERROR(VALUE(RIGHT(I63,1))),"",VALUE(RIGHT(I63,1)))</f>
        <v/>
      </c>
      <c r="V63" s="207" t="str">
        <f>IF(ISERROR(VALUE(RIGHT(J63,1))),"",VALUE(RIGHT(J63,1)))</f>
        <v/>
      </c>
      <c r="W63" s="207"/>
      <c r="X63" s="208" t="str">
        <f>IF(ISERROR(VALUE(RIGHT(L63,1))),"",VALUE(RIGHT(L63,1)))</f>
        <v/>
      </c>
      <c r="Y63" s="209" t="str">
        <f t="shared" si="10"/>
        <v/>
      </c>
      <c r="Z63" s="210" t="str">
        <f t="shared" si="23"/>
        <v/>
      </c>
      <c r="AA63" s="211" t="str">
        <f t="shared" si="24"/>
        <v/>
      </c>
      <c r="AB63" s="212" t="str">
        <f t="shared" si="30"/>
        <v/>
      </c>
      <c r="AC63" s="213" t="str">
        <f t="shared" si="26"/>
        <v/>
      </c>
      <c r="AD63" s="211" t="str">
        <f>IF(B63&gt;0,SUM(W59:W64),"")</f>
        <v/>
      </c>
      <c r="AE63" s="199" t="str">
        <f t="shared" si="12"/>
        <v/>
      </c>
      <c r="AF63" s="199" t="str">
        <f t="shared" si="31"/>
        <v/>
      </c>
      <c r="AG63" s="242"/>
      <c r="AH63" s="245" t="str">
        <f t="shared" si="14"/>
        <v/>
      </c>
      <c r="AM63" s="214">
        <f>IF(Q59="V",IF(M63="D",0,1),IF(Q59="D",IF(M63="V",0,1),1))</f>
        <v>1</v>
      </c>
      <c r="AN63" s="215">
        <f>IF(Q60="V",IF(N63="D",0,1),IF(Q60="D",IF(N63="V",0,1),1))</f>
        <v>1</v>
      </c>
      <c r="AO63" s="215">
        <f>IF(Q61="V",IF(O63="D",0,1),IF(Q61="D",IF(O63="V",0,1),1))</f>
        <v>1</v>
      </c>
      <c r="AP63" s="215">
        <f>IF(Q62="V",IF(P63="D",0,1),IF(Q62="D",IF(P63="V",0,1),1))</f>
        <v>1</v>
      </c>
      <c r="AQ63" s="215"/>
      <c r="AR63" s="216">
        <f>IF(R63="V",IF(Q64="D",0,1),IF(R63="D",IF(Q64="V",0,1),1))</f>
        <v>1</v>
      </c>
    </row>
    <row r="64" spans="1:44" ht="12" customHeight="1">
      <c r="A64" s="217" t="str">
        <f>IF(B64="","",10)</f>
        <v/>
      </c>
      <c r="B64" s="218"/>
      <c r="C64" s="219" t="str">
        <f>IF(F64="","",6)</f>
        <v/>
      </c>
      <c r="D64" s="220" t="str">
        <f t="shared" si="20"/>
        <v/>
      </c>
      <c r="E64" s="221" t="str">
        <f t="shared" si="21"/>
        <v/>
      </c>
      <c r="F64" s="222" t="str">
        <f t="shared" si="22"/>
        <v/>
      </c>
      <c r="G64" s="223"/>
      <c r="H64" s="224"/>
      <c r="I64" s="224"/>
      <c r="J64" s="224"/>
      <c r="K64" s="224"/>
      <c r="L64" s="225"/>
      <c r="M64" s="226" t="str">
        <f>LEFT(G64,1)</f>
        <v/>
      </c>
      <c r="N64" s="227" t="str">
        <f>LEFT(H64,1)</f>
        <v/>
      </c>
      <c r="O64" s="227" t="str">
        <f>LEFT(I64,1)</f>
        <v/>
      </c>
      <c r="P64" s="227" t="str">
        <f>LEFT(J64,1)</f>
        <v/>
      </c>
      <c r="Q64" s="227" t="str">
        <f>LEFT(K64,1)</f>
        <v/>
      </c>
      <c r="R64" s="228" t="str">
        <f t="shared" si="29"/>
        <v/>
      </c>
      <c r="S64" s="226" t="str">
        <f>IF(ISERROR(VALUE(RIGHT(G64,1))),"",VALUE(RIGHT(G64,1)))</f>
        <v/>
      </c>
      <c r="T64" s="227" t="str">
        <f>IF(ISERROR(VALUE(RIGHT(H64,1))),"",VALUE(RIGHT(H64,1)))</f>
        <v/>
      </c>
      <c r="U64" s="227" t="str">
        <f>IF(ISERROR(VALUE(RIGHT(I64,1))),"",VALUE(RIGHT(I64,1)))</f>
        <v/>
      </c>
      <c r="V64" s="227" t="str">
        <f>IF(ISERROR(VALUE(RIGHT(J64,1))),"",VALUE(RIGHT(J64,1)))</f>
        <v/>
      </c>
      <c r="W64" s="227" t="str">
        <f>IF(ISERROR(VALUE(RIGHT(K64,1))),"",VALUE(RIGHT(K64,1)))</f>
        <v/>
      </c>
      <c r="X64" s="228"/>
      <c r="Y64" s="229" t="str">
        <f t="shared" si="10"/>
        <v/>
      </c>
      <c r="Z64" s="230" t="str">
        <f t="shared" si="23"/>
        <v/>
      </c>
      <c r="AA64" s="231" t="str">
        <f t="shared" si="24"/>
        <v/>
      </c>
      <c r="AB64" s="232" t="str">
        <f t="shared" si="30"/>
        <v/>
      </c>
      <c r="AC64" s="233" t="str">
        <f t="shared" si="26"/>
        <v/>
      </c>
      <c r="AD64" s="231" t="str">
        <f>IF(B64&gt;0,SUM(X59:X64),"")</f>
        <v/>
      </c>
      <c r="AE64" s="234" t="str">
        <f t="shared" si="12"/>
        <v/>
      </c>
      <c r="AF64" s="234" t="str">
        <f>IF(ISERROR(D64),"",D64)</f>
        <v/>
      </c>
      <c r="AG64" s="243"/>
      <c r="AH64" s="246" t="str">
        <f t="shared" si="14"/>
        <v/>
      </c>
      <c r="AM64" s="235">
        <f>IF(R59="V",IF(M64="D",0,1),IF(R59="D",IF(M64="V",0,1),1))</f>
        <v>1</v>
      </c>
      <c r="AN64" s="236">
        <f>IF(R60="V",IF(N64="D",0,1),IF(R60="D",IF(N64="V",0,1),1))</f>
        <v>1</v>
      </c>
      <c r="AO64" s="236">
        <f>IF(R61="V",IF(O64="D",0,1),IF(R61="D",IF(O64="V",0,1),1))</f>
        <v>1</v>
      </c>
      <c r="AP64" s="236">
        <f>IF(R62="V",IF(P64="D",0,1),IF(R62="D",IF(P64="V",0,1),1))</f>
        <v>1</v>
      </c>
      <c r="AQ64" s="236">
        <f>IF(R63="V",IF(Q64="D",0,1),IF(R63="D",IF(Q64="V",0,1),1))</f>
        <v>1</v>
      </c>
      <c r="AR64" s="237"/>
    </row>
    <row r="65" spans="1:44" ht="12" customHeight="1">
      <c r="A65" s="175">
        <v>11</v>
      </c>
      <c r="B65" s="176"/>
      <c r="C65" s="177" t="str">
        <f>IF(F65="","",1)</f>
        <v/>
      </c>
      <c r="D65" s="178" t="str">
        <f t="shared" si="20"/>
        <v/>
      </c>
      <c r="E65" s="179" t="str">
        <f t="shared" si="21"/>
        <v/>
      </c>
      <c r="F65" s="180" t="str">
        <f t="shared" si="22"/>
        <v/>
      </c>
      <c r="G65" s="181"/>
      <c r="H65" s="182"/>
      <c r="I65" s="182"/>
      <c r="J65" s="182"/>
      <c r="K65" s="182"/>
      <c r="L65" s="183"/>
      <c r="M65" s="184"/>
      <c r="N65" s="185" t="str">
        <f>LEFT(H65,1)</f>
        <v/>
      </c>
      <c r="O65" s="185" t="str">
        <f>LEFT(I65,1)</f>
        <v/>
      </c>
      <c r="P65" s="185" t="str">
        <f>LEFT(J65,1)</f>
        <v/>
      </c>
      <c r="Q65" s="185" t="str">
        <f>LEFT(K65,1)</f>
        <v/>
      </c>
      <c r="R65" s="186" t="str">
        <f t="shared" si="15"/>
        <v/>
      </c>
      <c r="S65" s="184"/>
      <c r="T65" s="185" t="str">
        <f>IF(ISERROR(VALUE(RIGHT(H65,1))),"",VALUE(RIGHT(H65,1)))</f>
        <v/>
      </c>
      <c r="U65" s="185" t="str">
        <f>IF(ISERROR(VALUE(RIGHT(I65,1))),"",VALUE(RIGHT(I65,1)))</f>
        <v/>
      </c>
      <c r="V65" s="185" t="str">
        <f>IF(ISERROR(VALUE(RIGHT(J65,1))),"",VALUE(RIGHT(J65,1)))</f>
        <v/>
      </c>
      <c r="W65" s="185" t="str">
        <f>IF(ISERROR(VALUE(RIGHT(K65,1))),"",VALUE(RIGHT(K65,1)))</f>
        <v/>
      </c>
      <c r="X65" s="186" t="str">
        <f>IF(ISERROR(VALUE(RIGHT(L65,1))),"",VALUE(RIGHT(L65,1)))</f>
        <v/>
      </c>
      <c r="Y65" s="187" t="str">
        <f t="shared" si="10"/>
        <v/>
      </c>
      <c r="Z65" s="188" t="str">
        <f t="shared" si="23"/>
        <v/>
      </c>
      <c r="AA65" s="189" t="str">
        <f t="shared" si="24"/>
        <v/>
      </c>
      <c r="AB65" s="190" t="str">
        <f t="shared" si="25"/>
        <v/>
      </c>
      <c r="AC65" s="191" t="str">
        <f t="shared" si="26"/>
        <v/>
      </c>
      <c r="AD65" s="189" t="str">
        <f>IF(B65&gt;0,SUM(S65:S70),"")</f>
        <v/>
      </c>
      <c r="AE65" s="178" t="str">
        <f t="shared" si="12"/>
        <v/>
      </c>
      <c r="AF65" s="178" t="str">
        <f>IF(ISERROR(D65),"",D65)</f>
        <v/>
      </c>
      <c r="AG65" s="241"/>
      <c r="AH65" s="244" t="str">
        <f t="shared" si="14"/>
        <v/>
      </c>
      <c r="AM65" s="193"/>
      <c r="AN65" s="194">
        <f>IF(N65="V",IF(M66="D",0,1),IF(N65="D",IF(M66="V",0,1),1))</f>
        <v>1</v>
      </c>
      <c r="AO65" s="194">
        <f>IF(O65="V",IF(M67="D",0,1),IF(O65="D",IF(M67="V",0,1),1))</f>
        <v>1</v>
      </c>
      <c r="AP65" s="194">
        <f>IF(P65="V",IF(M68="D",0,1),IF(P65="D",IF(M68="V",0,1),1))</f>
        <v>1</v>
      </c>
      <c r="AQ65" s="194">
        <f>IF(Q65="V",IF(M69="D",0,1),IF(Q65="D",IF(M69="V",0,1),1))</f>
        <v>1</v>
      </c>
      <c r="AR65" s="195">
        <f>IF(R65="V",IF(M70="D",0,1),IF(R65="D",IF(M70="V",0,1),1))</f>
        <v>1</v>
      </c>
    </row>
    <row r="66" spans="1:44" ht="12" customHeight="1">
      <c r="A66" s="196" t="str">
        <f>IF(B66="","",11)</f>
        <v/>
      </c>
      <c r="B66" s="197"/>
      <c r="C66" s="198" t="str">
        <f>IF(F66="","",2)</f>
        <v/>
      </c>
      <c r="D66" s="199" t="str">
        <f t="shared" si="20"/>
        <v/>
      </c>
      <c r="E66" s="200" t="str">
        <f t="shared" si="21"/>
        <v/>
      </c>
      <c r="F66" s="201" t="str">
        <f t="shared" si="22"/>
        <v/>
      </c>
      <c r="G66" s="202"/>
      <c r="H66" s="203"/>
      <c r="I66" s="204"/>
      <c r="J66" s="204"/>
      <c r="K66" s="204"/>
      <c r="L66" s="205"/>
      <c r="M66" s="206" t="str">
        <f>LEFT(G66,1)</f>
        <v/>
      </c>
      <c r="N66" s="207"/>
      <c r="O66" s="207" t="str">
        <f>LEFT(I66,1)</f>
        <v/>
      </c>
      <c r="P66" s="207" t="str">
        <f>LEFT(J66,1)</f>
        <v/>
      </c>
      <c r="Q66" s="207" t="str">
        <f>LEFT(K66,1)</f>
        <v/>
      </c>
      <c r="R66" s="208" t="str">
        <f t="shared" si="15"/>
        <v/>
      </c>
      <c r="S66" s="206" t="str">
        <f>IF(ISERROR(VALUE(RIGHT(G66,1))),"",VALUE(RIGHT(G66,1)))</f>
        <v/>
      </c>
      <c r="T66" s="207"/>
      <c r="U66" s="207" t="str">
        <f>IF(ISERROR(VALUE(RIGHT(I66,1))),"",VALUE(RIGHT(I66,1)))</f>
        <v/>
      </c>
      <c r="V66" s="207" t="str">
        <f>IF(ISERROR(VALUE(RIGHT(J66,1))),"",VALUE(RIGHT(J66,1)))</f>
        <v/>
      </c>
      <c r="W66" s="207" t="str">
        <f>IF(ISERROR(VALUE(RIGHT(K66,1))),"",VALUE(RIGHT(K66,1)))</f>
        <v/>
      </c>
      <c r="X66" s="208" t="str">
        <f>IF(ISERROR(VALUE(RIGHT(L66,1))),"",VALUE(RIGHT(L66,1)))</f>
        <v/>
      </c>
      <c r="Y66" s="209" t="str">
        <f t="shared" si="10"/>
        <v/>
      </c>
      <c r="Z66" s="210" t="str">
        <f t="shared" si="23"/>
        <v/>
      </c>
      <c r="AA66" s="211" t="str">
        <f t="shared" si="24"/>
        <v/>
      </c>
      <c r="AB66" s="212" t="str">
        <f t="shared" si="25"/>
        <v/>
      </c>
      <c r="AC66" s="213" t="str">
        <f t="shared" si="26"/>
        <v/>
      </c>
      <c r="AD66" s="211" t="str">
        <f>IF(B66&gt;0,SUM(T65:T70),"")</f>
        <v/>
      </c>
      <c r="AE66" s="199" t="str">
        <f t="shared" si="12"/>
        <v/>
      </c>
      <c r="AF66" s="199" t="str">
        <f t="shared" ref="AF66:AF69" si="32">IF(ISERROR(D66),"",D66)</f>
        <v/>
      </c>
      <c r="AG66" s="242"/>
      <c r="AH66" s="245" t="str">
        <f t="shared" si="14"/>
        <v/>
      </c>
      <c r="AM66" s="214">
        <f>IF(N65="V",IF(M66="D",0,1),IF(N65="D",IF(M66="V",0,1),1))</f>
        <v>1</v>
      </c>
      <c r="AN66" s="215"/>
      <c r="AO66" s="215">
        <f>IF(O66="V",IF(N67="D",0,1),IF(O66="D",IF(N67="V",0,1),1))</f>
        <v>1</v>
      </c>
      <c r="AP66" s="215">
        <f>IF(P66="V",IF(N68="D",0,1),IF(P66="D",IF(N68="V",0,1),1))</f>
        <v>1</v>
      </c>
      <c r="AQ66" s="215">
        <f>IF(Q66="V",IF(N69="D",0,1),IF(Q66="D",IF(N69="V",0,1),1))</f>
        <v>1</v>
      </c>
      <c r="AR66" s="216">
        <f>IF(R66="V",IF(N70="D",0,1),IF(R66="D",IF(N70="V",0,1),1))</f>
        <v>1</v>
      </c>
    </row>
    <row r="67" spans="1:44" ht="12" customHeight="1">
      <c r="A67" s="196" t="str">
        <f>IF(B67="","",11)</f>
        <v/>
      </c>
      <c r="B67" s="197"/>
      <c r="C67" s="198" t="str">
        <f>IF(F67="","",3)</f>
        <v/>
      </c>
      <c r="D67" s="199" t="str">
        <f t="shared" si="20"/>
        <v/>
      </c>
      <c r="E67" s="200" t="str">
        <f t="shared" si="21"/>
        <v/>
      </c>
      <c r="F67" s="201" t="str">
        <f t="shared" si="22"/>
        <v/>
      </c>
      <c r="G67" s="202"/>
      <c r="H67" s="204"/>
      <c r="I67" s="203"/>
      <c r="J67" s="204"/>
      <c r="K67" s="204"/>
      <c r="L67" s="205"/>
      <c r="M67" s="206" t="str">
        <f>LEFT(G67,1)</f>
        <v/>
      </c>
      <c r="N67" s="207" t="str">
        <f>LEFT(H67,1)</f>
        <v/>
      </c>
      <c r="O67" s="207"/>
      <c r="P67" s="207" t="str">
        <f>LEFT(J67,1)</f>
        <v/>
      </c>
      <c r="Q67" s="207" t="str">
        <f>LEFT(K67,1)</f>
        <v/>
      </c>
      <c r="R67" s="208" t="str">
        <f t="shared" si="15"/>
        <v/>
      </c>
      <c r="S67" s="206" t="str">
        <f>IF(ISERROR(VALUE(RIGHT(G67,1))),"",VALUE(RIGHT(G67,1)))</f>
        <v/>
      </c>
      <c r="T67" s="207" t="str">
        <f>IF(ISERROR(VALUE(RIGHT(H67,1))),"",VALUE(RIGHT(H67,1)))</f>
        <v/>
      </c>
      <c r="U67" s="207"/>
      <c r="V67" s="207" t="str">
        <f>IF(ISERROR(VALUE(RIGHT(J67,1))),"",VALUE(RIGHT(J67,1)))</f>
        <v/>
      </c>
      <c r="W67" s="207" t="str">
        <f>IF(ISERROR(VALUE(RIGHT(K67,1))),"",VALUE(RIGHT(K67,1)))</f>
        <v/>
      </c>
      <c r="X67" s="208" t="str">
        <f>IF(ISERROR(VALUE(RIGHT(L67,1))),"",VALUE(RIGHT(L67,1)))</f>
        <v/>
      </c>
      <c r="Y67" s="209" t="str">
        <f t="shared" si="10"/>
        <v/>
      </c>
      <c r="Z67" s="210" t="str">
        <f t="shared" si="23"/>
        <v/>
      </c>
      <c r="AA67" s="211" t="str">
        <f t="shared" si="24"/>
        <v/>
      </c>
      <c r="AB67" s="212" t="str">
        <f t="shared" si="25"/>
        <v/>
      </c>
      <c r="AC67" s="213" t="str">
        <f t="shared" si="26"/>
        <v/>
      </c>
      <c r="AD67" s="211" t="str">
        <f>IF(B67&gt;0,SUM(U65:U70),"")</f>
        <v/>
      </c>
      <c r="AE67" s="199" t="str">
        <f t="shared" si="12"/>
        <v/>
      </c>
      <c r="AF67" s="199" t="str">
        <f t="shared" si="32"/>
        <v/>
      </c>
      <c r="AG67" s="242"/>
      <c r="AH67" s="245" t="str">
        <f t="shared" si="14"/>
        <v/>
      </c>
      <c r="AM67" s="214">
        <f>IF(O65="V",IF(M67="D",0,1),IF(O65="D",IF(M67="V",0,1),1))</f>
        <v>1</v>
      </c>
      <c r="AN67" s="215">
        <f>IF(O66="V",IF(N67="D",0,1),IF(O66="D",IF(N67="V",0,1),1))</f>
        <v>1</v>
      </c>
      <c r="AO67" s="215"/>
      <c r="AP67" s="215">
        <f>IF(P67="V",IF(O68="D",0,1),IF(P67="D",IF(O68="V",0,1),1))</f>
        <v>1</v>
      </c>
      <c r="AQ67" s="215">
        <f>IF(Q67="V",IF(O69="D",0,1),IF(Q67="D",IF(O69="V",0,1),1))</f>
        <v>1</v>
      </c>
      <c r="AR67" s="216">
        <f>IF(R67="V",IF(O70="D",0,1),IF(R67="D",IF(O70="V",0,1),1))</f>
        <v>1</v>
      </c>
    </row>
    <row r="68" spans="1:44" ht="12" customHeight="1">
      <c r="A68" s="196" t="str">
        <f>IF(B68="","",11)</f>
        <v/>
      </c>
      <c r="B68" s="197"/>
      <c r="C68" s="198" t="str">
        <f>IF(F68="","",4)</f>
        <v/>
      </c>
      <c r="D68" s="199" t="str">
        <f t="shared" si="20"/>
        <v/>
      </c>
      <c r="E68" s="200" t="str">
        <f t="shared" si="21"/>
        <v/>
      </c>
      <c r="F68" s="201" t="str">
        <f t="shared" si="22"/>
        <v/>
      </c>
      <c r="G68" s="202"/>
      <c r="H68" s="204"/>
      <c r="I68" s="204"/>
      <c r="J68" s="203"/>
      <c r="K68" s="204"/>
      <c r="L68" s="205"/>
      <c r="M68" s="206" t="str">
        <f>LEFT(G68,1)</f>
        <v/>
      </c>
      <c r="N68" s="207" t="str">
        <f>LEFT(H68,1)</f>
        <v/>
      </c>
      <c r="O68" s="207" t="str">
        <f>LEFT(I68,1)</f>
        <v/>
      </c>
      <c r="P68" s="207"/>
      <c r="Q68" s="207" t="str">
        <f>LEFT(K68,1)</f>
        <v/>
      </c>
      <c r="R68" s="208" t="str">
        <f t="shared" si="15"/>
        <v/>
      </c>
      <c r="S68" s="206" t="str">
        <f>IF(ISERROR(VALUE(RIGHT(G68,1))),"",VALUE(RIGHT(G68,1)))</f>
        <v/>
      </c>
      <c r="T68" s="207" t="str">
        <f>IF(ISERROR(VALUE(RIGHT(H68,1))),"",VALUE(RIGHT(H68,1)))</f>
        <v/>
      </c>
      <c r="U68" s="207" t="str">
        <f>IF(ISERROR(VALUE(RIGHT(I68,1))),"",VALUE(RIGHT(I68,1)))</f>
        <v/>
      </c>
      <c r="V68" s="207"/>
      <c r="W68" s="207" t="str">
        <f>IF(ISERROR(VALUE(RIGHT(K68,1))),"",VALUE(RIGHT(K68,1)))</f>
        <v/>
      </c>
      <c r="X68" s="208" t="str">
        <f>IF(ISERROR(VALUE(RIGHT(L68,1))),"",VALUE(RIGHT(L68,1)))</f>
        <v/>
      </c>
      <c r="Y68" s="209" t="str">
        <f t="shared" si="10"/>
        <v/>
      </c>
      <c r="Z68" s="210" t="str">
        <f t="shared" si="23"/>
        <v/>
      </c>
      <c r="AA68" s="211" t="str">
        <f t="shared" si="24"/>
        <v/>
      </c>
      <c r="AB68" s="212" t="str">
        <f t="shared" si="25"/>
        <v/>
      </c>
      <c r="AC68" s="213" t="str">
        <f t="shared" si="26"/>
        <v/>
      </c>
      <c r="AD68" s="211" t="str">
        <f>IF(B68&gt;0,SUM(V65:V70),"")</f>
        <v/>
      </c>
      <c r="AE68" s="199" t="str">
        <f t="shared" si="12"/>
        <v/>
      </c>
      <c r="AF68" s="199" t="str">
        <f t="shared" si="32"/>
        <v/>
      </c>
      <c r="AG68" s="242"/>
      <c r="AH68" s="245" t="str">
        <f t="shared" si="14"/>
        <v/>
      </c>
      <c r="AM68" s="214">
        <f>IF(P65="V",IF(M68="D",0,1),IF(P65="D",IF(M68="V",0,1),1))</f>
        <v>1</v>
      </c>
      <c r="AN68" s="215">
        <f>IF(P66="V",IF(N68="D",0,1),IF(P66="D",IF(N68="V",0,1),1))</f>
        <v>1</v>
      </c>
      <c r="AO68" s="215">
        <f>IF(P67="V",IF(O68="D",0,1),IF(P67="D",IF(O68="V",0,1),1))</f>
        <v>1</v>
      </c>
      <c r="AP68" s="215"/>
      <c r="AQ68" s="215">
        <f>IF(Q68="V",IF(P69="D",0,1),IF(Q68="D",IF(P69="V",0,1),1))</f>
        <v>1</v>
      </c>
      <c r="AR68" s="216">
        <f>IF(R68="V",IF(P70="D",0,1),IF(R68="D",IF(P70="V",0,1),1))</f>
        <v>1</v>
      </c>
    </row>
    <row r="69" spans="1:44" ht="12" customHeight="1">
      <c r="A69" s="196" t="str">
        <f>IF(B69="","",11)</f>
        <v/>
      </c>
      <c r="B69" s="197"/>
      <c r="C69" s="198" t="str">
        <f>IF(F69="","",5)</f>
        <v/>
      </c>
      <c r="D69" s="199" t="str">
        <f t="shared" ref="D69:D100" si="33">IF(B69&gt;0,RANK(AH69,$AH$5:$AH$100,0),"")</f>
        <v/>
      </c>
      <c r="E69" s="200" t="str">
        <f t="shared" ref="E69:E100" si="34">IF(ISERROR(VLOOKUP(B69,名簿,2,FALSE)),"",VLOOKUP(B69,名簿,2,FALSE))</f>
        <v/>
      </c>
      <c r="F69" s="201" t="str">
        <f t="shared" ref="F69:F100" si="35">IF(ISERROR(VLOOKUP(B69,名簿,3,FALSE)),"",VLOOKUP(B69,名簿,3,FALSE))</f>
        <v/>
      </c>
      <c r="G69" s="202"/>
      <c r="H69" s="204"/>
      <c r="I69" s="204"/>
      <c r="J69" s="204"/>
      <c r="K69" s="203"/>
      <c r="L69" s="205"/>
      <c r="M69" s="206" t="str">
        <f>LEFT(G69,1)</f>
        <v/>
      </c>
      <c r="N69" s="207" t="str">
        <f>LEFT(H69,1)</f>
        <v/>
      </c>
      <c r="O69" s="207" t="str">
        <f>LEFT(I69,1)</f>
        <v/>
      </c>
      <c r="P69" s="207" t="str">
        <f>LEFT(J69,1)</f>
        <v/>
      </c>
      <c r="Q69" s="207"/>
      <c r="R69" s="208" t="str">
        <f t="shared" si="15"/>
        <v/>
      </c>
      <c r="S69" s="206" t="str">
        <f>IF(ISERROR(VALUE(RIGHT(G69,1))),"",VALUE(RIGHT(G69,1)))</f>
        <v/>
      </c>
      <c r="T69" s="207" t="str">
        <f>IF(ISERROR(VALUE(RIGHT(H69,1))),"",VALUE(RIGHT(H69,1)))</f>
        <v/>
      </c>
      <c r="U69" s="207" t="str">
        <f>IF(ISERROR(VALUE(RIGHT(I69,1))),"",VALUE(RIGHT(I69,1)))</f>
        <v/>
      </c>
      <c r="V69" s="207" t="str">
        <f>IF(ISERROR(VALUE(RIGHT(J69,1))),"",VALUE(RIGHT(J69,1)))</f>
        <v/>
      </c>
      <c r="W69" s="207"/>
      <c r="X69" s="208" t="str">
        <f>IF(ISERROR(VALUE(RIGHT(L69,1))),"",VALUE(RIGHT(L69,1)))</f>
        <v/>
      </c>
      <c r="Y69" s="209" t="str">
        <f t="shared" si="10"/>
        <v/>
      </c>
      <c r="Z69" s="210" t="str">
        <f t="shared" ref="Z69:Z100" si="36">IF(B69&gt;0,COUNTA(G69:L69),"")</f>
        <v/>
      </c>
      <c r="AA69" s="211" t="str">
        <f t="shared" ref="AA69:AA100" si="37">IF(B69&gt;0,COUNTIF(M69:R69,"V"),"")</f>
        <v/>
      </c>
      <c r="AB69" s="212" t="str">
        <f t="shared" ref="AB69:AB100" si="38">IF(ISERROR(ROUND(AA69/Z69,3)),"",ROUND(AA69/Z69,3))</f>
        <v/>
      </c>
      <c r="AC69" s="213" t="str">
        <f t="shared" ref="AC69:AC100" si="39">IF(B69&gt;0,SUM(S69:X69),"")</f>
        <v/>
      </c>
      <c r="AD69" s="211" t="str">
        <f>IF(B69&gt;0,SUM(W65:W70),"")</f>
        <v/>
      </c>
      <c r="AE69" s="199" t="str">
        <f t="shared" si="12"/>
        <v/>
      </c>
      <c r="AF69" s="199" t="str">
        <f t="shared" si="32"/>
        <v/>
      </c>
      <c r="AG69" s="242"/>
      <c r="AH69" s="245" t="str">
        <f t="shared" si="14"/>
        <v/>
      </c>
      <c r="AM69" s="214">
        <f>IF(Q65="V",IF(M69="D",0,1),IF(Q65="D",IF(M69="V",0,1),1))</f>
        <v>1</v>
      </c>
      <c r="AN69" s="215">
        <f>IF(Q66="V",IF(N69="D",0,1),IF(Q66="D",IF(N69="V",0,1),1))</f>
        <v>1</v>
      </c>
      <c r="AO69" s="215">
        <f>IF(Q67="V",IF(O69="D",0,1),IF(Q67="D",IF(O69="V",0,1),1))</f>
        <v>1</v>
      </c>
      <c r="AP69" s="215">
        <f>IF(Q68="V",IF(P69="D",0,1),IF(Q68="D",IF(P69="V",0,1),1))</f>
        <v>1</v>
      </c>
      <c r="AQ69" s="215"/>
      <c r="AR69" s="216">
        <f>IF(R69="V",IF(Q70="D",0,1),IF(R69="D",IF(Q70="V",0,1),1))</f>
        <v>1</v>
      </c>
    </row>
    <row r="70" spans="1:44" ht="12" customHeight="1">
      <c r="A70" s="217" t="str">
        <f>IF(B70="","",11)</f>
        <v/>
      </c>
      <c r="B70" s="218"/>
      <c r="C70" s="219" t="str">
        <f>IF(F70="","",6)</f>
        <v/>
      </c>
      <c r="D70" s="220" t="str">
        <f t="shared" si="33"/>
        <v/>
      </c>
      <c r="E70" s="221" t="str">
        <f t="shared" si="34"/>
        <v/>
      </c>
      <c r="F70" s="222" t="str">
        <f t="shared" si="35"/>
        <v/>
      </c>
      <c r="G70" s="223"/>
      <c r="H70" s="224"/>
      <c r="I70" s="224"/>
      <c r="J70" s="224"/>
      <c r="K70" s="224"/>
      <c r="L70" s="225"/>
      <c r="M70" s="226" t="str">
        <f>LEFT(G70,1)</f>
        <v/>
      </c>
      <c r="N70" s="227" t="str">
        <f>LEFT(H70,1)</f>
        <v/>
      </c>
      <c r="O70" s="227" t="str">
        <f>LEFT(I70,1)</f>
        <v/>
      </c>
      <c r="P70" s="227" t="str">
        <f>LEFT(J70,1)</f>
        <v/>
      </c>
      <c r="Q70" s="227" t="str">
        <f>LEFT(K70,1)</f>
        <v/>
      </c>
      <c r="R70" s="228" t="str">
        <f t="shared" si="15"/>
        <v/>
      </c>
      <c r="S70" s="226" t="str">
        <f>IF(ISERROR(VALUE(RIGHT(G70,1))),"",VALUE(RIGHT(G70,1)))</f>
        <v/>
      </c>
      <c r="T70" s="227" t="str">
        <f>IF(ISERROR(VALUE(RIGHT(H70,1))),"",VALUE(RIGHT(H70,1)))</f>
        <v/>
      </c>
      <c r="U70" s="227" t="str">
        <f>IF(ISERROR(VALUE(RIGHT(I70,1))),"",VALUE(RIGHT(I70,1)))</f>
        <v/>
      </c>
      <c r="V70" s="227" t="str">
        <f>IF(ISERROR(VALUE(RIGHT(J70,1))),"",VALUE(RIGHT(J70,1)))</f>
        <v/>
      </c>
      <c r="W70" s="227" t="str">
        <f>IF(ISERROR(VALUE(RIGHT(K70,1))),"",VALUE(RIGHT(K70,1)))</f>
        <v/>
      </c>
      <c r="X70" s="228"/>
      <c r="Y70" s="229" t="str">
        <f t="shared" ref="Y70:Y100" si="40">D70</f>
        <v/>
      </c>
      <c r="Z70" s="230" t="str">
        <f t="shared" si="36"/>
        <v/>
      </c>
      <c r="AA70" s="231" t="str">
        <f t="shared" si="37"/>
        <v/>
      </c>
      <c r="AB70" s="232" t="str">
        <f t="shared" si="38"/>
        <v/>
      </c>
      <c r="AC70" s="233" t="str">
        <f t="shared" si="39"/>
        <v/>
      </c>
      <c r="AD70" s="231" t="str">
        <f>IF(B70&gt;0,SUM(X65:X70),"")</f>
        <v/>
      </c>
      <c r="AE70" s="234" t="str">
        <f t="shared" ref="AE70:AE100" si="41">IF(AD70&lt;0,99,IF(ISERROR(AC70-AD70),"",AC70-AD70))</f>
        <v/>
      </c>
      <c r="AF70" s="234" t="str">
        <f>IF(ISERROR(D70),"",D70)</f>
        <v/>
      </c>
      <c r="AG70" s="243"/>
      <c r="AH70" s="246" t="str">
        <f t="shared" ref="AH70:AH100" si="42">IF(B70&gt;0,AB70*100000000+AE70*100000+AC70*1000+AC70*10-B70,"")</f>
        <v/>
      </c>
      <c r="AM70" s="235">
        <f>IF(R65="V",IF(M70="D",0,1),IF(R65="D",IF(M70="V",0,1),1))</f>
        <v>1</v>
      </c>
      <c r="AN70" s="236">
        <f>IF(R66="V",IF(N70="D",0,1),IF(R66="D",IF(N70="V",0,1),1))</f>
        <v>1</v>
      </c>
      <c r="AO70" s="236">
        <f>IF(R67="V",IF(O70="D",0,1),IF(R67="D",IF(O70="V",0,1),1))</f>
        <v>1</v>
      </c>
      <c r="AP70" s="236">
        <f>IF(R68="V",IF(P70="D",0,1),IF(R68="D",IF(P70="V",0,1),1))</f>
        <v>1</v>
      </c>
      <c r="AQ70" s="236">
        <f>IF(R69="V",IF(Q70="D",0,1),IF(R69="D",IF(Q70="V",0,1),1))</f>
        <v>1</v>
      </c>
      <c r="AR70" s="237"/>
    </row>
    <row r="71" spans="1:44" ht="12" customHeight="1">
      <c r="A71" s="175">
        <v>12</v>
      </c>
      <c r="B71" s="176"/>
      <c r="C71" s="177" t="str">
        <f>IF(F71="","",1)</f>
        <v/>
      </c>
      <c r="D71" s="178" t="str">
        <f t="shared" si="33"/>
        <v/>
      </c>
      <c r="E71" s="179" t="str">
        <f t="shared" si="34"/>
        <v/>
      </c>
      <c r="F71" s="180" t="str">
        <f t="shared" si="35"/>
        <v/>
      </c>
      <c r="G71" s="181"/>
      <c r="H71" s="182"/>
      <c r="I71" s="182"/>
      <c r="J71" s="182"/>
      <c r="K71" s="182"/>
      <c r="L71" s="183"/>
      <c r="M71" s="184"/>
      <c r="N71" s="185" t="str">
        <f>LEFT(H71,1)</f>
        <v/>
      </c>
      <c r="O71" s="185" t="str">
        <f>LEFT(I71,1)</f>
        <v/>
      </c>
      <c r="P71" s="185" t="str">
        <f>LEFT(J71,1)</f>
        <v/>
      </c>
      <c r="Q71" s="185" t="str">
        <f>LEFT(K71,1)</f>
        <v/>
      </c>
      <c r="R71" s="186" t="str">
        <f t="shared" si="15"/>
        <v/>
      </c>
      <c r="S71" s="184"/>
      <c r="T71" s="185" t="str">
        <f>IF(ISERROR(VALUE(RIGHT(H71,1))),"",VALUE(RIGHT(H71,1)))</f>
        <v/>
      </c>
      <c r="U71" s="185" t="str">
        <f>IF(ISERROR(VALUE(RIGHT(I71,1))),"",VALUE(RIGHT(I71,1)))</f>
        <v/>
      </c>
      <c r="V71" s="185" t="str">
        <f>IF(ISERROR(VALUE(RIGHT(J71,1))),"",VALUE(RIGHT(J71,1)))</f>
        <v/>
      </c>
      <c r="W71" s="185" t="str">
        <f>IF(ISERROR(VALUE(RIGHT(K71,1))),"",VALUE(RIGHT(K71,1)))</f>
        <v/>
      </c>
      <c r="X71" s="186" t="str">
        <f>IF(ISERROR(VALUE(RIGHT(L71,1))),"",VALUE(RIGHT(L71,1)))</f>
        <v/>
      </c>
      <c r="Y71" s="187" t="str">
        <f t="shared" si="40"/>
        <v/>
      </c>
      <c r="Z71" s="188" t="str">
        <f t="shared" si="36"/>
        <v/>
      </c>
      <c r="AA71" s="189" t="str">
        <f t="shared" si="37"/>
        <v/>
      </c>
      <c r="AB71" s="190" t="str">
        <f t="shared" si="38"/>
        <v/>
      </c>
      <c r="AC71" s="191" t="str">
        <f t="shared" si="39"/>
        <v/>
      </c>
      <c r="AD71" s="189" t="str">
        <f>IF(B71&gt;0,SUM(S71:S76),"")</f>
        <v/>
      </c>
      <c r="AE71" s="178" t="str">
        <f t="shared" si="41"/>
        <v/>
      </c>
      <c r="AF71" s="178" t="str">
        <f>IF(ISERROR(D71),"",D71)</f>
        <v/>
      </c>
      <c r="AG71" s="241"/>
      <c r="AH71" s="244" t="str">
        <f t="shared" si="42"/>
        <v/>
      </c>
      <c r="AM71" s="193"/>
      <c r="AN71" s="194">
        <f>IF(N71="V",IF(M72="D",0,1),IF(N71="D",IF(M72="V",0,1),1))</f>
        <v>1</v>
      </c>
      <c r="AO71" s="194">
        <f>IF(O71="V",IF(M73="D",0,1),IF(O71="D",IF(M73="V",0,1),1))</f>
        <v>1</v>
      </c>
      <c r="AP71" s="194">
        <f>IF(P71="V",IF(M74="D",0,1),IF(P71="D",IF(M74="V",0,1),1))</f>
        <v>1</v>
      </c>
      <c r="AQ71" s="194">
        <f>IF(Q71="V",IF(M75="D",0,1),IF(Q71="D",IF(M75="V",0,1),1))</f>
        <v>1</v>
      </c>
      <c r="AR71" s="195">
        <f>IF(R71="V",IF(M76="D",0,1),IF(R71="D",IF(M76="V",0,1),1))</f>
        <v>1</v>
      </c>
    </row>
    <row r="72" spans="1:44" ht="12" customHeight="1">
      <c r="A72" s="196" t="str">
        <f>IF(B72="","",12)</f>
        <v/>
      </c>
      <c r="B72" s="197"/>
      <c r="C72" s="198" t="str">
        <f>IF(F72="","",2)</f>
        <v/>
      </c>
      <c r="D72" s="199" t="str">
        <f t="shared" si="33"/>
        <v/>
      </c>
      <c r="E72" s="200" t="str">
        <f t="shared" si="34"/>
        <v/>
      </c>
      <c r="F72" s="201" t="str">
        <f t="shared" si="35"/>
        <v/>
      </c>
      <c r="G72" s="202"/>
      <c r="H72" s="203"/>
      <c r="I72" s="204"/>
      <c r="J72" s="204"/>
      <c r="K72" s="204"/>
      <c r="L72" s="205"/>
      <c r="M72" s="206" t="str">
        <f>LEFT(G72,1)</f>
        <v/>
      </c>
      <c r="N72" s="207"/>
      <c r="O72" s="207" t="str">
        <f>LEFT(I72,1)</f>
        <v/>
      </c>
      <c r="P72" s="207" t="str">
        <f>LEFT(J72,1)</f>
        <v/>
      </c>
      <c r="Q72" s="207" t="str">
        <f>LEFT(K72,1)</f>
        <v/>
      </c>
      <c r="R72" s="208" t="str">
        <f t="shared" si="15"/>
        <v/>
      </c>
      <c r="S72" s="206" t="str">
        <f>IF(ISERROR(VALUE(RIGHT(G72,1))),"",VALUE(RIGHT(G72,1)))</f>
        <v/>
      </c>
      <c r="T72" s="207"/>
      <c r="U72" s="207" t="str">
        <f>IF(ISERROR(VALUE(RIGHT(I72,1))),"",VALUE(RIGHT(I72,1)))</f>
        <v/>
      </c>
      <c r="V72" s="207" t="str">
        <f>IF(ISERROR(VALUE(RIGHT(J72,1))),"",VALUE(RIGHT(J72,1)))</f>
        <v/>
      </c>
      <c r="W72" s="207" t="str">
        <f>IF(ISERROR(VALUE(RIGHT(K72,1))),"",VALUE(RIGHT(K72,1)))</f>
        <v/>
      </c>
      <c r="X72" s="208" t="str">
        <f>IF(ISERROR(VALUE(RIGHT(L72,1))),"",VALUE(RIGHT(L72,1)))</f>
        <v/>
      </c>
      <c r="Y72" s="209" t="str">
        <f t="shared" si="40"/>
        <v/>
      </c>
      <c r="Z72" s="210" t="str">
        <f t="shared" si="36"/>
        <v/>
      </c>
      <c r="AA72" s="211" t="str">
        <f t="shared" si="37"/>
        <v/>
      </c>
      <c r="AB72" s="212" t="str">
        <f t="shared" si="38"/>
        <v/>
      </c>
      <c r="AC72" s="213" t="str">
        <f t="shared" si="39"/>
        <v/>
      </c>
      <c r="AD72" s="211" t="str">
        <f>IF(B72&gt;0,SUM(T71:T76),"")</f>
        <v/>
      </c>
      <c r="AE72" s="199" t="str">
        <f t="shared" si="41"/>
        <v/>
      </c>
      <c r="AF72" s="199" t="str">
        <f t="shared" ref="AF72:AF75" si="43">IF(ISERROR(D72),"",D72)</f>
        <v/>
      </c>
      <c r="AG72" s="242"/>
      <c r="AH72" s="245" t="str">
        <f t="shared" si="42"/>
        <v/>
      </c>
      <c r="AM72" s="214">
        <f>IF(N71="V",IF(M72="D",0,1),IF(N71="D",IF(M72="V",0,1),1))</f>
        <v>1</v>
      </c>
      <c r="AN72" s="215"/>
      <c r="AO72" s="215">
        <f>IF(O72="V",IF(N73="D",0,1),IF(O72="D",IF(N73="V",0,1),1))</f>
        <v>1</v>
      </c>
      <c r="AP72" s="215">
        <f>IF(P72="V",IF(N74="D",0,1),IF(P72="D",IF(N74="V",0,1),1))</f>
        <v>1</v>
      </c>
      <c r="AQ72" s="215">
        <f>IF(Q72="V",IF(N75="D",0,1),IF(Q72="D",IF(N75="V",0,1),1))</f>
        <v>1</v>
      </c>
      <c r="AR72" s="216">
        <f>IF(R72="V",IF(N76="D",0,1),IF(R72="D",IF(N76="V",0,1),1))</f>
        <v>1</v>
      </c>
    </row>
    <row r="73" spans="1:44" ht="12" customHeight="1">
      <c r="A73" s="196" t="str">
        <f>IF(B73="","",12)</f>
        <v/>
      </c>
      <c r="B73" s="197"/>
      <c r="C73" s="198" t="str">
        <f>IF(F73="","",3)</f>
        <v/>
      </c>
      <c r="D73" s="199" t="str">
        <f t="shared" si="33"/>
        <v/>
      </c>
      <c r="E73" s="200" t="str">
        <f t="shared" si="34"/>
        <v/>
      </c>
      <c r="F73" s="201" t="str">
        <f t="shared" si="35"/>
        <v/>
      </c>
      <c r="G73" s="202"/>
      <c r="H73" s="204"/>
      <c r="I73" s="203"/>
      <c r="J73" s="204"/>
      <c r="K73" s="204"/>
      <c r="L73" s="205"/>
      <c r="M73" s="206" t="str">
        <f>LEFT(G73,1)</f>
        <v/>
      </c>
      <c r="N73" s="207" t="str">
        <f>LEFT(H73,1)</f>
        <v/>
      </c>
      <c r="O73" s="207"/>
      <c r="P73" s="207" t="str">
        <f>LEFT(J73,1)</f>
        <v/>
      </c>
      <c r="Q73" s="207" t="str">
        <f>LEFT(K73,1)</f>
        <v/>
      </c>
      <c r="R73" s="208" t="str">
        <f t="shared" si="15"/>
        <v/>
      </c>
      <c r="S73" s="206" t="str">
        <f>IF(ISERROR(VALUE(RIGHT(G73,1))),"",VALUE(RIGHT(G73,1)))</f>
        <v/>
      </c>
      <c r="T73" s="207" t="str">
        <f>IF(ISERROR(VALUE(RIGHT(H73,1))),"",VALUE(RIGHT(H73,1)))</f>
        <v/>
      </c>
      <c r="U73" s="207"/>
      <c r="V73" s="207" t="str">
        <f>IF(ISERROR(VALUE(RIGHT(J73,1))),"",VALUE(RIGHT(J73,1)))</f>
        <v/>
      </c>
      <c r="W73" s="207" t="str">
        <f>IF(ISERROR(VALUE(RIGHT(K73,1))),"",VALUE(RIGHT(K73,1)))</f>
        <v/>
      </c>
      <c r="X73" s="208" t="str">
        <f>IF(ISERROR(VALUE(RIGHT(L73,1))),"",VALUE(RIGHT(L73,1)))</f>
        <v/>
      </c>
      <c r="Y73" s="209" t="str">
        <f t="shared" si="40"/>
        <v/>
      </c>
      <c r="Z73" s="210" t="str">
        <f t="shared" si="36"/>
        <v/>
      </c>
      <c r="AA73" s="211" t="str">
        <f t="shared" si="37"/>
        <v/>
      </c>
      <c r="AB73" s="212" t="str">
        <f t="shared" si="38"/>
        <v/>
      </c>
      <c r="AC73" s="213" t="str">
        <f t="shared" si="39"/>
        <v/>
      </c>
      <c r="AD73" s="211" t="str">
        <f>IF(B73&gt;0,SUM(U71:U76),"")</f>
        <v/>
      </c>
      <c r="AE73" s="199" t="str">
        <f t="shared" si="41"/>
        <v/>
      </c>
      <c r="AF73" s="199" t="str">
        <f t="shared" si="43"/>
        <v/>
      </c>
      <c r="AG73" s="242"/>
      <c r="AH73" s="245" t="str">
        <f t="shared" si="42"/>
        <v/>
      </c>
      <c r="AM73" s="214">
        <f>IF(O71="V",IF(M73="D",0,1),IF(O71="D",IF(M73="V",0,1),1))</f>
        <v>1</v>
      </c>
      <c r="AN73" s="215">
        <f>IF(O72="V",IF(N73="D",0,1),IF(O72="D",IF(N73="V",0,1),1))</f>
        <v>1</v>
      </c>
      <c r="AO73" s="215"/>
      <c r="AP73" s="215">
        <f>IF(P73="V",IF(O74="D",0,1),IF(P73="D",IF(O74="V",0,1),1))</f>
        <v>1</v>
      </c>
      <c r="AQ73" s="215">
        <f>IF(Q73="V",IF(O75="D",0,1),IF(Q73="D",IF(O75="V",0,1),1))</f>
        <v>1</v>
      </c>
      <c r="AR73" s="216">
        <f>IF(R73="V",IF(O76="D",0,1),IF(R73="D",IF(O76="V",0,1),1))</f>
        <v>1</v>
      </c>
    </row>
    <row r="74" spans="1:44" ht="12" customHeight="1">
      <c r="A74" s="196" t="str">
        <f>IF(B74="","",12)</f>
        <v/>
      </c>
      <c r="B74" s="197"/>
      <c r="C74" s="198" t="str">
        <f>IF(F74="","",4)</f>
        <v/>
      </c>
      <c r="D74" s="199" t="str">
        <f t="shared" si="33"/>
        <v/>
      </c>
      <c r="E74" s="200" t="str">
        <f t="shared" si="34"/>
        <v/>
      </c>
      <c r="F74" s="201" t="str">
        <f t="shared" si="35"/>
        <v/>
      </c>
      <c r="G74" s="202"/>
      <c r="H74" s="204"/>
      <c r="I74" s="204"/>
      <c r="J74" s="203"/>
      <c r="K74" s="204"/>
      <c r="L74" s="205"/>
      <c r="M74" s="206" t="str">
        <f>LEFT(G74,1)</f>
        <v/>
      </c>
      <c r="N74" s="207" t="str">
        <f>LEFT(H74,1)</f>
        <v/>
      </c>
      <c r="O74" s="207" t="str">
        <f>LEFT(I74,1)</f>
        <v/>
      </c>
      <c r="P74" s="207"/>
      <c r="Q74" s="207" t="str">
        <f>LEFT(K74,1)</f>
        <v/>
      </c>
      <c r="R74" s="208" t="str">
        <f t="shared" si="15"/>
        <v/>
      </c>
      <c r="S74" s="206" t="str">
        <f>IF(ISERROR(VALUE(RIGHT(G74,1))),"",VALUE(RIGHT(G74,1)))</f>
        <v/>
      </c>
      <c r="T74" s="207" t="str">
        <f>IF(ISERROR(VALUE(RIGHT(H74,1))),"",VALUE(RIGHT(H74,1)))</f>
        <v/>
      </c>
      <c r="U74" s="207" t="str">
        <f>IF(ISERROR(VALUE(RIGHT(I74,1))),"",VALUE(RIGHT(I74,1)))</f>
        <v/>
      </c>
      <c r="V74" s="207"/>
      <c r="W74" s="207" t="str">
        <f>IF(ISERROR(VALUE(RIGHT(K74,1))),"",VALUE(RIGHT(K74,1)))</f>
        <v/>
      </c>
      <c r="X74" s="208" t="str">
        <f>IF(ISERROR(VALUE(RIGHT(L74,1))),"",VALUE(RIGHT(L74,1)))</f>
        <v/>
      </c>
      <c r="Y74" s="209" t="str">
        <f t="shared" si="40"/>
        <v/>
      </c>
      <c r="Z74" s="210" t="str">
        <f t="shared" si="36"/>
        <v/>
      </c>
      <c r="AA74" s="211" t="str">
        <f t="shared" si="37"/>
        <v/>
      </c>
      <c r="AB74" s="212" t="str">
        <f t="shared" si="38"/>
        <v/>
      </c>
      <c r="AC74" s="213" t="str">
        <f t="shared" si="39"/>
        <v/>
      </c>
      <c r="AD74" s="211" t="str">
        <f>IF(B74&gt;0,SUM(V71:V76),"")</f>
        <v/>
      </c>
      <c r="AE74" s="199" t="str">
        <f t="shared" si="41"/>
        <v/>
      </c>
      <c r="AF74" s="199" t="str">
        <f t="shared" si="43"/>
        <v/>
      </c>
      <c r="AG74" s="242"/>
      <c r="AH74" s="245" t="str">
        <f t="shared" si="42"/>
        <v/>
      </c>
      <c r="AM74" s="214">
        <f>IF(P71="V",IF(M74="D",0,1),IF(P71="D",IF(M74="V",0,1),1))</f>
        <v>1</v>
      </c>
      <c r="AN74" s="215">
        <f>IF(P72="V",IF(N74="D",0,1),IF(P72="D",IF(N74="V",0,1),1))</f>
        <v>1</v>
      </c>
      <c r="AO74" s="215">
        <f>IF(P73="V",IF(O74="D",0,1),IF(P73="D",IF(O74="V",0,1),1))</f>
        <v>1</v>
      </c>
      <c r="AP74" s="215"/>
      <c r="AQ74" s="215">
        <f>IF(Q74="V",IF(P75="D",0,1),IF(Q74="D",IF(P75="V",0,1),1))</f>
        <v>1</v>
      </c>
      <c r="AR74" s="216">
        <f>IF(R74="V",IF(P76="D",0,1),IF(R74="D",IF(P76="V",0,1),1))</f>
        <v>1</v>
      </c>
    </row>
    <row r="75" spans="1:44" ht="12" customHeight="1">
      <c r="A75" s="196" t="str">
        <f>IF(B75="","",12)</f>
        <v/>
      </c>
      <c r="B75" s="197"/>
      <c r="C75" s="198" t="str">
        <f>IF(F75="","",5)</f>
        <v/>
      </c>
      <c r="D75" s="199" t="str">
        <f t="shared" si="33"/>
        <v/>
      </c>
      <c r="E75" s="200" t="str">
        <f t="shared" si="34"/>
        <v/>
      </c>
      <c r="F75" s="201" t="str">
        <f t="shared" si="35"/>
        <v/>
      </c>
      <c r="G75" s="202"/>
      <c r="H75" s="204"/>
      <c r="I75" s="204"/>
      <c r="J75" s="204"/>
      <c r="K75" s="203"/>
      <c r="L75" s="205"/>
      <c r="M75" s="206" t="str">
        <f>LEFT(G75,1)</f>
        <v/>
      </c>
      <c r="N75" s="207" t="str">
        <f>LEFT(H75,1)</f>
        <v/>
      </c>
      <c r="O75" s="207" t="str">
        <f>LEFT(I75,1)</f>
        <v/>
      </c>
      <c r="P75" s="207" t="str">
        <f>LEFT(J75,1)</f>
        <v/>
      </c>
      <c r="Q75" s="207"/>
      <c r="R75" s="208" t="str">
        <f t="shared" si="15"/>
        <v/>
      </c>
      <c r="S75" s="206" t="str">
        <f>IF(ISERROR(VALUE(RIGHT(G75,1))),"",VALUE(RIGHT(G75,1)))</f>
        <v/>
      </c>
      <c r="T75" s="207" t="str">
        <f>IF(ISERROR(VALUE(RIGHT(H75,1))),"",VALUE(RIGHT(H75,1)))</f>
        <v/>
      </c>
      <c r="U75" s="207" t="str">
        <f>IF(ISERROR(VALUE(RIGHT(I75,1))),"",VALUE(RIGHT(I75,1)))</f>
        <v/>
      </c>
      <c r="V75" s="207" t="str">
        <f>IF(ISERROR(VALUE(RIGHT(J75,1))),"",VALUE(RIGHT(J75,1)))</f>
        <v/>
      </c>
      <c r="W75" s="207"/>
      <c r="X75" s="208" t="str">
        <f>IF(ISERROR(VALUE(RIGHT(L75,1))),"",VALUE(RIGHT(L75,1)))</f>
        <v/>
      </c>
      <c r="Y75" s="209" t="str">
        <f t="shared" si="40"/>
        <v/>
      </c>
      <c r="Z75" s="210" t="str">
        <f t="shared" si="36"/>
        <v/>
      </c>
      <c r="AA75" s="211" t="str">
        <f t="shared" si="37"/>
        <v/>
      </c>
      <c r="AB75" s="212" t="str">
        <f t="shared" si="38"/>
        <v/>
      </c>
      <c r="AC75" s="213" t="str">
        <f t="shared" si="39"/>
        <v/>
      </c>
      <c r="AD75" s="211" t="str">
        <f>IF(B75&gt;0,SUM(W71:W76),"")</f>
        <v/>
      </c>
      <c r="AE75" s="199" t="str">
        <f t="shared" si="41"/>
        <v/>
      </c>
      <c r="AF75" s="199" t="str">
        <f t="shared" si="43"/>
        <v/>
      </c>
      <c r="AG75" s="242"/>
      <c r="AH75" s="245" t="str">
        <f t="shared" si="42"/>
        <v/>
      </c>
      <c r="AM75" s="214">
        <f>IF(Q71="V",IF(M75="D",0,1),IF(Q71="D",IF(M75="V",0,1),1))</f>
        <v>1</v>
      </c>
      <c r="AN75" s="215">
        <f>IF(Q72="V",IF(N75="D",0,1),IF(Q72="D",IF(N75="V",0,1),1))</f>
        <v>1</v>
      </c>
      <c r="AO75" s="215">
        <f>IF(Q73="V",IF(O75="D",0,1),IF(Q73="D",IF(O75="V",0,1),1))</f>
        <v>1</v>
      </c>
      <c r="AP75" s="215">
        <f>IF(Q74="V",IF(P75="D",0,1),IF(Q74="D",IF(P75="V",0,1),1))</f>
        <v>1</v>
      </c>
      <c r="AQ75" s="215"/>
      <c r="AR75" s="216">
        <f>IF(R75="V",IF(Q76="D",0,1),IF(R75="D",IF(Q76="V",0,1),1))</f>
        <v>1</v>
      </c>
    </row>
    <row r="76" spans="1:44" ht="12" customHeight="1">
      <c r="A76" s="217" t="str">
        <f>IF(B76="","",12)</f>
        <v/>
      </c>
      <c r="B76" s="218"/>
      <c r="C76" s="219" t="str">
        <f>IF(F76="","",6)</f>
        <v/>
      </c>
      <c r="D76" s="220" t="str">
        <f t="shared" si="33"/>
        <v/>
      </c>
      <c r="E76" s="221" t="str">
        <f t="shared" si="34"/>
        <v/>
      </c>
      <c r="F76" s="222" t="str">
        <f t="shared" si="35"/>
        <v/>
      </c>
      <c r="G76" s="223"/>
      <c r="H76" s="224"/>
      <c r="I76" s="224"/>
      <c r="J76" s="224"/>
      <c r="K76" s="224"/>
      <c r="L76" s="225"/>
      <c r="M76" s="226" t="str">
        <f>LEFT(G76,1)</f>
        <v/>
      </c>
      <c r="N76" s="227" t="str">
        <f>LEFT(H76,1)</f>
        <v/>
      </c>
      <c r="O76" s="227" t="str">
        <f>LEFT(I76,1)</f>
        <v/>
      </c>
      <c r="P76" s="227" t="str">
        <f>LEFT(J76,1)</f>
        <v/>
      </c>
      <c r="Q76" s="227" t="str">
        <f>LEFT(K76,1)</f>
        <v/>
      </c>
      <c r="R76" s="228" t="str">
        <f t="shared" ref="R76:R100" si="44">LEFT(L76,1)</f>
        <v/>
      </c>
      <c r="S76" s="226" t="str">
        <f>IF(ISERROR(VALUE(RIGHT(G76,1))),"",VALUE(RIGHT(G76,1)))</f>
        <v/>
      </c>
      <c r="T76" s="227" t="str">
        <f>IF(ISERROR(VALUE(RIGHT(H76,1))),"",VALUE(RIGHT(H76,1)))</f>
        <v/>
      </c>
      <c r="U76" s="227" t="str">
        <f>IF(ISERROR(VALUE(RIGHT(I76,1))),"",VALUE(RIGHT(I76,1)))</f>
        <v/>
      </c>
      <c r="V76" s="227" t="str">
        <f>IF(ISERROR(VALUE(RIGHT(J76,1))),"",VALUE(RIGHT(J76,1)))</f>
        <v/>
      </c>
      <c r="W76" s="227" t="str">
        <f>IF(ISERROR(VALUE(RIGHT(K76,1))),"",VALUE(RIGHT(K76,1)))</f>
        <v/>
      </c>
      <c r="X76" s="228"/>
      <c r="Y76" s="229" t="str">
        <f t="shared" si="40"/>
        <v/>
      </c>
      <c r="Z76" s="230" t="str">
        <f t="shared" si="36"/>
        <v/>
      </c>
      <c r="AA76" s="231" t="str">
        <f t="shared" si="37"/>
        <v/>
      </c>
      <c r="AB76" s="232" t="str">
        <f t="shared" si="38"/>
        <v/>
      </c>
      <c r="AC76" s="233" t="str">
        <f t="shared" si="39"/>
        <v/>
      </c>
      <c r="AD76" s="231" t="str">
        <f>IF(B76&gt;0,SUM(X71:X76),"")</f>
        <v/>
      </c>
      <c r="AE76" s="234" t="str">
        <f t="shared" si="41"/>
        <v/>
      </c>
      <c r="AF76" s="234" t="str">
        <f>IF(ISERROR(D76),"",D76)</f>
        <v/>
      </c>
      <c r="AG76" s="243"/>
      <c r="AH76" s="246" t="str">
        <f t="shared" si="42"/>
        <v/>
      </c>
      <c r="AM76" s="235">
        <f>IF(R71="V",IF(M76="D",0,1),IF(R71="D",IF(M76="V",0,1),1))</f>
        <v>1</v>
      </c>
      <c r="AN76" s="236">
        <f>IF(R72="V",IF(N76="D",0,1),IF(R72="D",IF(N76="V",0,1),1))</f>
        <v>1</v>
      </c>
      <c r="AO76" s="236">
        <f>IF(R73="V",IF(O76="D",0,1),IF(R73="D",IF(O76="V",0,1),1))</f>
        <v>1</v>
      </c>
      <c r="AP76" s="236">
        <f>IF(R74="V",IF(P76="D",0,1),IF(R74="D",IF(P76="V",0,1),1))</f>
        <v>1</v>
      </c>
      <c r="AQ76" s="236">
        <f>IF(R75="V",IF(Q76="D",0,1),IF(R75="D",IF(Q76="V",0,1),1))</f>
        <v>1</v>
      </c>
      <c r="AR76" s="237"/>
    </row>
    <row r="77" spans="1:44" ht="12" customHeight="1">
      <c r="A77" s="175">
        <v>13</v>
      </c>
      <c r="B77" s="176"/>
      <c r="C77" s="177" t="str">
        <f>IF(F77="","",1)</f>
        <v/>
      </c>
      <c r="D77" s="178" t="str">
        <f t="shared" si="33"/>
        <v/>
      </c>
      <c r="E77" s="179" t="str">
        <f t="shared" si="34"/>
        <v/>
      </c>
      <c r="F77" s="180" t="str">
        <f t="shared" si="35"/>
        <v/>
      </c>
      <c r="G77" s="181"/>
      <c r="H77" s="182"/>
      <c r="I77" s="182"/>
      <c r="J77" s="182"/>
      <c r="K77" s="182"/>
      <c r="L77" s="183"/>
      <c r="M77" s="184"/>
      <c r="N77" s="185" t="str">
        <f>LEFT(H77,1)</f>
        <v/>
      </c>
      <c r="O77" s="185" t="str">
        <f>LEFT(I77,1)</f>
        <v/>
      </c>
      <c r="P77" s="185" t="str">
        <f>LEFT(J77,1)</f>
        <v/>
      </c>
      <c r="Q77" s="185" t="str">
        <f>LEFT(K77,1)</f>
        <v/>
      </c>
      <c r="R77" s="186" t="str">
        <f t="shared" si="44"/>
        <v/>
      </c>
      <c r="S77" s="184"/>
      <c r="T77" s="185" t="str">
        <f>IF(ISERROR(VALUE(RIGHT(H77,1))),"",VALUE(RIGHT(H77,1)))</f>
        <v/>
      </c>
      <c r="U77" s="185" t="str">
        <f>IF(ISERROR(VALUE(RIGHT(I77,1))),"",VALUE(RIGHT(I77,1)))</f>
        <v/>
      </c>
      <c r="V77" s="185" t="str">
        <f>IF(ISERROR(VALUE(RIGHT(J77,1))),"",VALUE(RIGHT(J77,1)))</f>
        <v/>
      </c>
      <c r="W77" s="185" t="str">
        <f>IF(ISERROR(VALUE(RIGHT(K77,1))),"",VALUE(RIGHT(K77,1)))</f>
        <v/>
      </c>
      <c r="X77" s="186" t="str">
        <f>IF(ISERROR(VALUE(RIGHT(L77,1))),"",VALUE(RIGHT(L77,1)))</f>
        <v/>
      </c>
      <c r="Y77" s="187" t="str">
        <f t="shared" si="40"/>
        <v/>
      </c>
      <c r="Z77" s="188" t="str">
        <f t="shared" si="36"/>
        <v/>
      </c>
      <c r="AA77" s="189" t="str">
        <f t="shared" si="37"/>
        <v/>
      </c>
      <c r="AB77" s="190" t="str">
        <f t="shared" si="38"/>
        <v/>
      </c>
      <c r="AC77" s="191" t="str">
        <f t="shared" si="39"/>
        <v/>
      </c>
      <c r="AD77" s="189" t="str">
        <f>IF(B77&gt;0,SUM(S77:S82),"")</f>
        <v/>
      </c>
      <c r="AE77" s="178" t="str">
        <f t="shared" si="41"/>
        <v/>
      </c>
      <c r="AF77" s="178" t="str">
        <f>IF(ISERROR(D77),"",D77)</f>
        <v/>
      </c>
      <c r="AG77" s="241"/>
      <c r="AH77" s="244" t="str">
        <f t="shared" si="42"/>
        <v/>
      </c>
      <c r="AM77" s="193"/>
      <c r="AN77" s="194">
        <f>IF(N77="V",IF(M78="D",0,1),IF(N77="D",IF(M78="V",0,1),1))</f>
        <v>1</v>
      </c>
      <c r="AO77" s="194">
        <f>IF(O77="V",IF(M79="D",0,1),IF(O77="D",IF(M79="V",0,1),1))</f>
        <v>1</v>
      </c>
      <c r="AP77" s="194">
        <f>IF(P77="V",IF(M80="D",0,1),IF(P77="D",IF(M80="V",0,1),1))</f>
        <v>1</v>
      </c>
      <c r="AQ77" s="194">
        <f>IF(Q77="V",IF(M81="D",0,1),IF(Q77="D",IF(M81="V",0,1),1))</f>
        <v>1</v>
      </c>
      <c r="AR77" s="195">
        <f>IF(R77="V",IF(M82="D",0,1),IF(R77="D",IF(M82="V",0,1),1))</f>
        <v>1</v>
      </c>
    </row>
    <row r="78" spans="1:44" ht="12" customHeight="1">
      <c r="A78" s="196" t="str">
        <f>IF(B78="","",13)</f>
        <v/>
      </c>
      <c r="B78" s="197"/>
      <c r="C78" s="198" t="str">
        <f>IF(F78="","",2)</f>
        <v/>
      </c>
      <c r="D78" s="199" t="str">
        <f t="shared" si="33"/>
        <v/>
      </c>
      <c r="E78" s="200" t="str">
        <f t="shared" si="34"/>
        <v/>
      </c>
      <c r="F78" s="201" t="str">
        <f t="shared" si="35"/>
        <v/>
      </c>
      <c r="G78" s="202"/>
      <c r="H78" s="203"/>
      <c r="I78" s="204"/>
      <c r="J78" s="204"/>
      <c r="K78" s="204"/>
      <c r="L78" s="205"/>
      <c r="M78" s="206" t="str">
        <f>LEFT(G78,1)</f>
        <v/>
      </c>
      <c r="N78" s="207"/>
      <c r="O78" s="207" t="str">
        <f>LEFT(I78,1)</f>
        <v/>
      </c>
      <c r="P78" s="207" t="str">
        <f>LEFT(J78,1)</f>
        <v/>
      </c>
      <c r="Q78" s="207" t="str">
        <f>LEFT(K78,1)</f>
        <v/>
      </c>
      <c r="R78" s="208" t="str">
        <f t="shared" si="44"/>
        <v/>
      </c>
      <c r="S78" s="206" t="str">
        <f>IF(ISERROR(VALUE(RIGHT(G78,1))),"",VALUE(RIGHT(G78,1)))</f>
        <v/>
      </c>
      <c r="T78" s="207"/>
      <c r="U78" s="207" t="str">
        <f>IF(ISERROR(VALUE(RIGHT(I78,1))),"",VALUE(RIGHT(I78,1)))</f>
        <v/>
      </c>
      <c r="V78" s="207" t="str">
        <f>IF(ISERROR(VALUE(RIGHT(J78,1))),"",VALUE(RIGHT(J78,1)))</f>
        <v/>
      </c>
      <c r="W78" s="207" t="str">
        <f>IF(ISERROR(VALUE(RIGHT(K78,1))),"",VALUE(RIGHT(K78,1)))</f>
        <v/>
      </c>
      <c r="X78" s="208" t="str">
        <f>IF(ISERROR(VALUE(RIGHT(L78,1))),"",VALUE(RIGHT(L78,1)))</f>
        <v/>
      </c>
      <c r="Y78" s="209" t="str">
        <f t="shared" si="40"/>
        <v/>
      </c>
      <c r="Z78" s="210" t="str">
        <f t="shared" si="36"/>
        <v/>
      </c>
      <c r="AA78" s="211" t="str">
        <f t="shared" si="37"/>
        <v/>
      </c>
      <c r="AB78" s="212" t="str">
        <f t="shared" si="38"/>
        <v/>
      </c>
      <c r="AC78" s="213" t="str">
        <f t="shared" si="39"/>
        <v/>
      </c>
      <c r="AD78" s="211" t="str">
        <f>IF(B78&gt;0,SUM(T77:T82),"")</f>
        <v/>
      </c>
      <c r="AE78" s="199" t="str">
        <f t="shared" si="41"/>
        <v/>
      </c>
      <c r="AF78" s="199" t="str">
        <f t="shared" ref="AF78:AF81" si="45">IF(ISERROR(D78),"",D78)</f>
        <v/>
      </c>
      <c r="AG78" s="242"/>
      <c r="AH78" s="245" t="str">
        <f t="shared" si="42"/>
        <v/>
      </c>
      <c r="AM78" s="214">
        <f>IF(N77="V",IF(M78="D",0,1),IF(N77="D",IF(M78="V",0,1),1))</f>
        <v>1</v>
      </c>
      <c r="AN78" s="215"/>
      <c r="AO78" s="215">
        <f>IF(O78="V",IF(N79="D",0,1),IF(O78="D",IF(N79="V",0,1),1))</f>
        <v>1</v>
      </c>
      <c r="AP78" s="215">
        <f>IF(P78="V",IF(N80="D",0,1),IF(P78="D",IF(N80="V",0,1),1))</f>
        <v>1</v>
      </c>
      <c r="AQ78" s="215">
        <f>IF(Q78="V",IF(N81="D",0,1),IF(Q78="D",IF(N81="V",0,1),1))</f>
        <v>1</v>
      </c>
      <c r="AR78" s="216">
        <f>IF(R78="V",IF(N82="D",0,1),IF(R78="D",IF(N82="V",0,1),1))</f>
        <v>1</v>
      </c>
    </row>
    <row r="79" spans="1:44" ht="12" customHeight="1">
      <c r="A79" s="196" t="str">
        <f>IF(B79="","",13)</f>
        <v/>
      </c>
      <c r="B79" s="197"/>
      <c r="C79" s="198" t="str">
        <f>IF(F79="","",3)</f>
        <v/>
      </c>
      <c r="D79" s="199" t="str">
        <f t="shared" si="33"/>
        <v/>
      </c>
      <c r="E79" s="200" t="str">
        <f t="shared" si="34"/>
        <v/>
      </c>
      <c r="F79" s="201" t="str">
        <f t="shared" si="35"/>
        <v/>
      </c>
      <c r="G79" s="202"/>
      <c r="H79" s="204"/>
      <c r="I79" s="203"/>
      <c r="J79" s="204"/>
      <c r="K79" s="204"/>
      <c r="L79" s="205"/>
      <c r="M79" s="206" t="str">
        <f>LEFT(G79,1)</f>
        <v/>
      </c>
      <c r="N79" s="207" t="str">
        <f>LEFT(H79,1)</f>
        <v/>
      </c>
      <c r="O79" s="207"/>
      <c r="P79" s="207" t="str">
        <f>LEFT(J79,1)</f>
        <v/>
      </c>
      <c r="Q79" s="207" t="str">
        <f>LEFT(K79,1)</f>
        <v/>
      </c>
      <c r="R79" s="208" t="str">
        <f t="shared" si="44"/>
        <v/>
      </c>
      <c r="S79" s="206" t="str">
        <f>IF(ISERROR(VALUE(RIGHT(G79,1))),"",VALUE(RIGHT(G79,1)))</f>
        <v/>
      </c>
      <c r="T79" s="207" t="str">
        <f>IF(ISERROR(VALUE(RIGHT(H79,1))),"",VALUE(RIGHT(H79,1)))</f>
        <v/>
      </c>
      <c r="U79" s="207"/>
      <c r="V79" s="207" t="str">
        <f>IF(ISERROR(VALUE(RIGHT(J79,1))),"",VALUE(RIGHT(J79,1)))</f>
        <v/>
      </c>
      <c r="W79" s="207" t="str">
        <f>IF(ISERROR(VALUE(RIGHT(K79,1))),"",VALUE(RIGHT(K79,1)))</f>
        <v/>
      </c>
      <c r="X79" s="208" t="str">
        <f>IF(ISERROR(VALUE(RIGHT(L79,1))),"",VALUE(RIGHT(L79,1)))</f>
        <v/>
      </c>
      <c r="Y79" s="209" t="str">
        <f t="shared" si="40"/>
        <v/>
      </c>
      <c r="Z79" s="210" t="str">
        <f t="shared" si="36"/>
        <v/>
      </c>
      <c r="AA79" s="211" t="str">
        <f t="shared" si="37"/>
        <v/>
      </c>
      <c r="AB79" s="212" t="str">
        <f t="shared" si="38"/>
        <v/>
      </c>
      <c r="AC79" s="213" t="str">
        <f t="shared" si="39"/>
        <v/>
      </c>
      <c r="AD79" s="211" t="str">
        <f>IF(B79&gt;0,SUM(U77:U82),"")</f>
        <v/>
      </c>
      <c r="AE79" s="199" t="str">
        <f t="shared" si="41"/>
        <v/>
      </c>
      <c r="AF79" s="199" t="str">
        <f t="shared" si="45"/>
        <v/>
      </c>
      <c r="AG79" s="242"/>
      <c r="AH79" s="245" t="str">
        <f t="shared" si="42"/>
        <v/>
      </c>
      <c r="AM79" s="214">
        <f>IF(O77="V",IF(M79="D",0,1),IF(O77="D",IF(M79="V",0,1),1))</f>
        <v>1</v>
      </c>
      <c r="AN79" s="215">
        <f>IF(O78="V",IF(N79="D",0,1),IF(O78="D",IF(N79="V",0,1),1))</f>
        <v>1</v>
      </c>
      <c r="AO79" s="215"/>
      <c r="AP79" s="215">
        <f>IF(P79="V",IF(O80="D",0,1),IF(P79="D",IF(O80="V",0,1),1))</f>
        <v>1</v>
      </c>
      <c r="AQ79" s="215">
        <f>IF(Q79="V",IF(O81="D",0,1),IF(Q79="D",IF(O81="V",0,1),1))</f>
        <v>1</v>
      </c>
      <c r="AR79" s="216">
        <f>IF(R79="V",IF(O82="D",0,1),IF(R79="D",IF(O82="V",0,1),1))</f>
        <v>1</v>
      </c>
    </row>
    <row r="80" spans="1:44" ht="12" customHeight="1">
      <c r="A80" s="196" t="str">
        <f>IF(B80="","",13)</f>
        <v/>
      </c>
      <c r="B80" s="197"/>
      <c r="C80" s="198" t="str">
        <f>IF(F80="","",4)</f>
        <v/>
      </c>
      <c r="D80" s="199" t="str">
        <f t="shared" si="33"/>
        <v/>
      </c>
      <c r="E80" s="200" t="str">
        <f t="shared" si="34"/>
        <v/>
      </c>
      <c r="F80" s="201" t="str">
        <f t="shared" si="35"/>
        <v/>
      </c>
      <c r="G80" s="202"/>
      <c r="H80" s="204"/>
      <c r="I80" s="204"/>
      <c r="J80" s="203"/>
      <c r="K80" s="204"/>
      <c r="L80" s="205"/>
      <c r="M80" s="206" t="str">
        <f>LEFT(G80,1)</f>
        <v/>
      </c>
      <c r="N80" s="207" t="str">
        <f>LEFT(H80,1)</f>
        <v/>
      </c>
      <c r="O80" s="207" t="str">
        <f>LEFT(I80,1)</f>
        <v/>
      </c>
      <c r="P80" s="207"/>
      <c r="Q80" s="207" t="str">
        <f>LEFT(K80,1)</f>
        <v/>
      </c>
      <c r="R80" s="208" t="str">
        <f t="shared" si="44"/>
        <v/>
      </c>
      <c r="S80" s="206" t="str">
        <f>IF(ISERROR(VALUE(RIGHT(G80,1))),"",VALUE(RIGHT(G80,1)))</f>
        <v/>
      </c>
      <c r="T80" s="207" t="str">
        <f>IF(ISERROR(VALUE(RIGHT(H80,1))),"",VALUE(RIGHT(H80,1)))</f>
        <v/>
      </c>
      <c r="U80" s="207" t="str">
        <f>IF(ISERROR(VALUE(RIGHT(I80,1))),"",VALUE(RIGHT(I80,1)))</f>
        <v/>
      </c>
      <c r="V80" s="207"/>
      <c r="W80" s="207" t="str">
        <f>IF(ISERROR(VALUE(RIGHT(K80,1))),"",VALUE(RIGHT(K80,1)))</f>
        <v/>
      </c>
      <c r="X80" s="208" t="str">
        <f>IF(ISERROR(VALUE(RIGHT(L80,1))),"",VALUE(RIGHT(L80,1)))</f>
        <v/>
      </c>
      <c r="Y80" s="209" t="str">
        <f t="shared" si="40"/>
        <v/>
      </c>
      <c r="Z80" s="210" t="str">
        <f t="shared" si="36"/>
        <v/>
      </c>
      <c r="AA80" s="211" t="str">
        <f t="shared" si="37"/>
        <v/>
      </c>
      <c r="AB80" s="212" t="str">
        <f t="shared" si="38"/>
        <v/>
      </c>
      <c r="AC80" s="213" t="str">
        <f t="shared" si="39"/>
        <v/>
      </c>
      <c r="AD80" s="211" t="str">
        <f>IF(B80&gt;0,SUM(V77:V82),"")</f>
        <v/>
      </c>
      <c r="AE80" s="199" t="str">
        <f t="shared" si="41"/>
        <v/>
      </c>
      <c r="AF80" s="199" t="str">
        <f t="shared" si="45"/>
        <v/>
      </c>
      <c r="AG80" s="242"/>
      <c r="AH80" s="245" t="str">
        <f t="shared" si="42"/>
        <v/>
      </c>
      <c r="AM80" s="214">
        <f>IF(P77="V",IF(M80="D",0,1),IF(P77="D",IF(M80="V",0,1),1))</f>
        <v>1</v>
      </c>
      <c r="AN80" s="215">
        <f>IF(P78="V",IF(N80="D",0,1),IF(P78="D",IF(N80="V",0,1),1))</f>
        <v>1</v>
      </c>
      <c r="AO80" s="215">
        <f>IF(P79="V",IF(O80="D",0,1),IF(P79="D",IF(O80="V",0,1),1))</f>
        <v>1</v>
      </c>
      <c r="AP80" s="215"/>
      <c r="AQ80" s="215">
        <f>IF(Q80="V",IF(P81="D",0,1),IF(Q80="D",IF(P81="V",0,1),1))</f>
        <v>1</v>
      </c>
      <c r="AR80" s="216">
        <f>IF(R80="V",IF(P82="D",0,1),IF(R80="D",IF(P82="V",0,1),1))</f>
        <v>1</v>
      </c>
    </row>
    <row r="81" spans="1:44" ht="12" customHeight="1">
      <c r="A81" s="196" t="str">
        <f>IF(B81="","",13)</f>
        <v/>
      </c>
      <c r="B81" s="197"/>
      <c r="C81" s="198" t="str">
        <f>IF(F81="","",5)</f>
        <v/>
      </c>
      <c r="D81" s="199" t="str">
        <f t="shared" si="33"/>
        <v/>
      </c>
      <c r="E81" s="200" t="str">
        <f t="shared" si="34"/>
        <v/>
      </c>
      <c r="F81" s="201" t="str">
        <f t="shared" si="35"/>
        <v/>
      </c>
      <c r="G81" s="202"/>
      <c r="H81" s="204"/>
      <c r="I81" s="204"/>
      <c r="J81" s="204"/>
      <c r="K81" s="203"/>
      <c r="L81" s="205"/>
      <c r="M81" s="206" t="str">
        <f>LEFT(G81,1)</f>
        <v/>
      </c>
      <c r="N81" s="207" t="str">
        <f>LEFT(H81,1)</f>
        <v/>
      </c>
      <c r="O81" s="207" t="str">
        <f>LEFT(I81,1)</f>
        <v/>
      </c>
      <c r="P81" s="207" t="str">
        <f>LEFT(J81,1)</f>
        <v/>
      </c>
      <c r="Q81" s="207"/>
      <c r="R81" s="208" t="str">
        <f t="shared" si="44"/>
        <v/>
      </c>
      <c r="S81" s="206" t="str">
        <f>IF(ISERROR(VALUE(RIGHT(G81,1))),"",VALUE(RIGHT(G81,1)))</f>
        <v/>
      </c>
      <c r="T81" s="207" t="str">
        <f>IF(ISERROR(VALUE(RIGHT(H81,1))),"",VALUE(RIGHT(H81,1)))</f>
        <v/>
      </c>
      <c r="U81" s="207" t="str">
        <f>IF(ISERROR(VALUE(RIGHT(I81,1))),"",VALUE(RIGHT(I81,1)))</f>
        <v/>
      </c>
      <c r="V81" s="207" t="str">
        <f>IF(ISERROR(VALUE(RIGHT(J81,1))),"",VALUE(RIGHT(J81,1)))</f>
        <v/>
      </c>
      <c r="W81" s="207"/>
      <c r="X81" s="208" t="str">
        <f>IF(ISERROR(VALUE(RIGHT(L81,1))),"",VALUE(RIGHT(L81,1)))</f>
        <v/>
      </c>
      <c r="Y81" s="209" t="str">
        <f t="shared" si="40"/>
        <v/>
      </c>
      <c r="Z81" s="210" t="str">
        <f t="shared" si="36"/>
        <v/>
      </c>
      <c r="AA81" s="211" t="str">
        <f t="shared" si="37"/>
        <v/>
      </c>
      <c r="AB81" s="212" t="str">
        <f t="shared" si="38"/>
        <v/>
      </c>
      <c r="AC81" s="213" t="str">
        <f t="shared" si="39"/>
        <v/>
      </c>
      <c r="AD81" s="211" t="str">
        <f>IF(B81&gt;0,SUM(W77:W82),"")</f>
        <v/>
      </c>
      <c r="AE81" s="199" t="str">
        <f t="shared" si="41"/>
        <v/>
      </c>
      <c r="AF81" s="199" t="str">
        <f t="shared" si="45"/>
        <v/>
      </c>
      <c r="AG81" s="242"/>
      <c r="AH81" s="245" t="str">
        <f t="shared" si="42"/>
        <v/>
      </c>
      <c r="AM81" s="214">
        <f>IF(Q77="V",IF(M81="D",0,1),IF(Q77="D",IF(M81="V",0,1),1))</f>
        <v>1</v>
      </c>
      <c r="AN81" s="215">
        <f>IF(Q78="V",IF(N81="D",0,1),IF(Q78="D",IF(N81="V",0,1),1))</f>
        <v>1</v>
      </c>
      <c r="AO81" s="215">
        <f>IF(Q79="V",IF(O81="D",0,1),IF(Q79="D",IF(O81="V",0,1),1))</f>
        <v>1</v>
      </c>
      <c r="AP81" s="215">
        <f>IF(Q80="V",IF(P81="D",0,1),IF(Q80="D",IF(P81="V",0,1),1))</f>
        <v>1</v>
      </c>
      <c r="AQ81" s="215"/>
      <c r="AR81" s="216">
        <f>IF(R81="V",IF(Q82="D",0,1),IF(R81="D",IF(Q82="V",0,1),1))</f>
        <v>1</v>
      </c>
    </row>
    <row r="82" spans="1:44" ht="12" customHeight="1">
      <c r="A82" s="217" t="str">
        <f>IF(B82="","",13)</f>
        <v/>
      </c>
      <c r="B82" s="218"/>
      <c r="C82" s="219" t="str">
        <f>IF(F82="","",6)</f>
        <v/>
      </c>
      <c r="D82" s="220" t="str">
        <f t="shared" si="33"/>
        <v/>
      </c>
      <c r="E82" s="221" t="str">
        <f t="shared" si="34"/>
        <v/>
      </c>
      <c r="F82" s="222" t="str">
        <f t="shared" si="35"/>
        <v/>
      </c>
      <c r="G82" s="223"/>
      <c r="H82" s="224"/>
      <c r="I82" s="224"/>
      <c r="J82" s="224"/>
      <c r="K82" s="224"/>
      <c r="L82" s="225"/>
      <c r="M82" s="226" t="str">
        <f>LEFT(G82,1)</f>
        <v/>
      </c>
      <c r="N82" s="227" t="str">
        <f>LEFT(H82,1)</f>
        <v/>
      </c>
      <c r="O82" s="227" t="str">
        <f>LEFT(I82,1)</f>
        <v/>
      </c>
      <c r="P82" s="227" t="str">
        <f>LEFT(J82,1)</f>
        <v/>
      </c>
      <c r="Q82" s="227" t="str">
        <f>LEFT(K82,1)</f>
        <v/>
      </c>
      <c r="R82" s="228" t="str">
        <f t="shared" si="44"/>
        <v/>
      </c>
      <c r="S82" s="226" t="str">
        <f>IF(ISERROR(VALUE(RIGHT(G82,1))),"",VALUE(RIGHT(G82,1)))</f>
        <v/>
      </c>
      <c r="T82" s="227" t="str">
        <f>IF(ISERROR(VALUE(RIGHT(H82,1))),"",VALUE(RIGHT(H82,1)))</f>
        <v/>
      </c>
      <c r="U82" s="227" t="str">
        <f>IF(ISERROR(VALUE(RIGHT(I82,1))),"",VALUE(RIGHT(I82,1)))</f>
        <v/>
      </c>
      <c r="V82" s="227" t="str">
        <f>IF(ISERROR(VALUE(RIGHT(J82,1))),"",VALUE(RIGHT(J82,1)))</f>
        <v/>
      </c>
      <c r="W82" s="227" t="str">
        <f>IF(ISERROR(VALUE(RIGHT(K82,1))),"",VALUE(RIGHT(K82,1)))</f>
        <v/>
      </c>
      <c r="X82" s="228"/>
      <c r="Y82" s="229" t="str">
        <f t="shared" si="40"/>
        <v/>
      </c>
      <c r="Z82" s="230" t="str">
        <f t="shared" si="36"/>
        <v/>
      </c>
      <c r="AA82" s="231" t="str">
        <f t="shared" si="37"/>
        <v/>
      </c>
      <c r="AB82" s="232" t="str">
        <f t="shared" si="38"/>
        <v/>
      </c>
      <c r="AC82" s="233" t="str">
        <f t="shared" si="39"/>
        <v/>
      </c>
      <c r="AD82" s="231" t="str">
        <f>IF(B82&gt;0,SUM(X77:X82),"")</f>
        <v/>
      </c>
      <c r="AE82" s="234" t="str">
        <f t="shared" si="41"/>
        <v/>
      </c>
      <c r="AF82" s="234" t="str">
        <f>IF(ISERROR(D82),"",D82)</f>
        <v/>
      </c>
      <c r="AG82" s="243"/>
      <c r="AH82" s="246" t="str">
        <f t="shared" si="42"/>
        <v/>
      </c>
      <c r="AM82" s="235">
        <f>IF(R77="V",IF(M82="D",0,1),IF(R77="D",IF(M82="V",0,1),1))</f>
        <v>1</v>
      </c>
      <c r="AN82" s="236">
        <f>IF(R78="V",IF(N82="D",0,1),IF(R78="D",IF(N82="V",0,1),1))</f>
        <v>1</v>
      </c>
      <c r="AO82" s="236">
        <f>IF(R79="V",IF(O82="D",0,1),IF(R79="D",IF(O82="V",0,1),1))</f>
        <v>1</v>
      </c>
      <c r="AP82" s="236">
        <f>IF(R80="V",IF(P82="D",0,1),IF(R80="D",IF(P82="V",0,1),1))</f>
        <v>1</v>
      </c>
      <c r="AQ82" s="236">
        <f>IF(R81="V",IF(Q82="D",0,1),IF(R81="D",IF(Q82="V",0,1),1))</f>
        <v>1</v>
      </c>
      <c r="AR82" s="237"/>
    </row>
    <row r="83" spans="1:44" ht="12" customHeight="1">
      <c r="A83" s="175">
        <v>14</v>
      </c>
      <c r="B83" s="176"/>
      <c r="C83" s="177" t="str">
        <f>IF(F83="","",1)</f>
        <v/>
      </c>
      <c r="D83" s="178" t="str">
        <f t="shared" si="33"/>
        <v/>
      </c>
      <c r="E83" s="179" t="str">
        <f t="shared" si="34"/>
        <v/>
      </c>
      <c r="F83" s="180" t="str">
        <f t="shared" si="35"/>
        <v/>
      </c>
      <c r="G83" s="181"/>
      <c r="H83" s="182"/>
      <c r="I83" s="182"/>
      <c r="J83" s="182"/>
      <c r="K83" s="182"/>
      <c r="L83" s="183"/>
      <c r="M83" s="184"/>
      <c r="N83" s="185" t="str">
        <f>LEFT(H83,1)</f>
        <v/>
      </c>
      <c r="O83" s="185" t="str">
        <f>LEFT(I83,1)</f>
        <v/>
      </c>
      <c r="P83" s="185" t="str">
        <f>LEFT(J83,1)</f>
        <v/>
      </c>
      <c r="Q83" s="185" t="str">
        <f>LEFT(K83,1)</f>
        <v/>
      </c>
      <c r="R83" s="186" t="str">
        <f t="shared" si="44"/>
        <v/>
      </c>
      <c r="S83" s="184"/>
      <c r="T83" s="185" t="str">
        <f>IF(ISERROR(VALUE(RIGHT(H83,1))),"",VALUE(RIGHT(H83,1)))</f>
        <v/>
      </c>
      <c r="U83" s="185" t="str">
        <f>IF(ISERROR(VALUE(RIGHT(I83,1))),"",VALUE(RIGHT(I83,1)))</f>
        <v/>
      </c>
      <c r="V83" s="185" t="str">
        <f>IF(ISERROR(VALUE(RIGHT(J83,1))),"",VALUE(RIGHT(J83,1)))</f>
        <v/>
      </c>
      <c r="W83" s="185" t="str">
        <f>IF(ISERROR(VALUE(RIGHT(K83,1))),"",VALUE(RIGHT(K83,1)))</f>
        <v/>
      </c>
      <c r="X83" s="186" t="str">
        <f>IF(ISERROR(VALUE(RIGHT(L83,1))),"",VALUE(RIGHT(L83,1)))</f>
        <v/>
      </c>
      <c r="Y83" s="187" t="str">
        <f t="shared" si="40"/>
        <v/>
      </c>
      <c r="Z83" s="188" t="str">
        <f t="shared" si="36"/>
        <v/>
      </c>
      <c r="AA83" s="189" t="str">
        <f t="shared" si="37"/>
        <v/>
      </c>
      <c r="AB83" s="190" t="str">
        <f t="shared" si="38"/>
        <v/>
      </c>
      <c r="AC83" s="191" t="str">
        <f t="shared" si="39"/>
        <v/>
      </c>
      <c r="AD83" s="189" t="str">
        <f>IF(B83&gt;0,SUM(S83:S88),"")</f>
        <v/>
      </c>
      <c r="AE83" s="178" t="str">
        <f t="shared" si="41"/>
        <v/>
      </c>
      <c r="AF83" s="178" t="str">
        <f>IF(ISERROR(D83),"",D83)</f>
        <v/>
      </c>
      <c r="AG83" s="241"/>
      <c r="AH83" s="244" t="str">
        <f t="shared" si="42"/>
        <v/>
      </c>
      <c r="AM83" s="193"/>
      <c r="AN83" s="194">
        <f>IF(N83="V",IF(M84="D",0,1),IF(N83="D",IF(M84="V",0,1),1))</f>
        <v>1</v>
      </c>
      <c r="AO83" s="194">
        <f>IF(O83="V",IF(M85="D",0,1),IF(O83="D",IF(M85="V",0,1),1))</f>
        <v>1</v>
      </c>
      <c r="AP83" s="194">
        <f>IF(P83="V",IF(M86="D",0,1),IF(P83="D",IF(M86="V",0,1),1))</f>
        <v>1</v>
      </c>
      <c r="AQ83" s="194">
        <f>IF(Q83="V",IF(M87="D",0,1),IF(Q83="D",IF(M87="V",0,1),1))</f>
        <v>1</v>
      </c>
      <c r="AR83" s="195">
        <f>IF(R83="V",IF(M88="D",0,1),IF(R83="D",IF(M88="V",0,1),1))</f>
        <v>1</v>
      </c>
    </row>
    <row r="84" spans="1:44" ht="12" customHeight="1">
      <c r="A84" s="196" t="str">
        <f>IF(B84="","",14)</f>
        <v/>
      </c>
      <c r="B84" s="197"/>
      <c r="C84" s="198" t="str">
        <f>IF(F84="","",2)</f>
        <v/>
      </c>
      <c r="D84" s="199" t="str">
        <f t="shared" si="33"/>
        <v/>
      </c>
      <c r="E84" s="200" t="str">
        <f t="shared" si="34"/>
        <v/>
      </c>
      <c r="F84" s="201" t="str">
        <f t="shared" si="35"/>
        <v/>
      </c>
      <c r="G84" s="202"/>
      <c r="H84" s="203"/>
      <c r="I84" s="204"/>
      <c r="J84" s="204"/>
      <c r="K84" s="204"/>
      <c r="L84" s="205"/>
      <c r="M84" s="206" t="str">
        <f>LEFT(G84,1)</f>
        <v/>
      </c>
      <c r="N84" s="207"/>
      <c r="O84" s="207" t="str">
        <f>LEFT(I84,1)</f>
        <v/>
      </c>
      <c r="P84" s="207" t="str">
        <f>LEFT(J84,1)</f>
        <v/>
      </c>
      <c r="Q84" s="207" t="str">
        <f>LEFT(K84,1)</f>
        <v/>
      </c>
      <c r="R84" s="208" t="str">
        <f t="shared" si="44"/>
        <v/>
      </c>
      <c r="S84" s="206" t="str">
        <f>IF(ISERROR(VALUE(RIGHT(G84,1))),"",VALUE(RIGHT(G84,1)))</f>
        <v/>
      </c>
      <c r="T84" s="207"/>
      <c r="U84" s="207" t="str">
        <f>IF(ISERROR(VALUE(RIGHT(I84,1))),"",VALUE(RIGHT(I84,1)))</f>
        <v/>
      </c>
      <c r="V84" s="207" t="str">
        <f>IF(ISERROR(VALUE(RIGHT(J84,1))),"",VALUE(RIGHT(J84,1)))</f>
        <v/>
      </c>
      <c r="W84" s="207" t="str">
        <f>IF(ISERROR(VALUE(RIGHT(K84,1))),"",VALUE(RIGHT(K84,1)))</f>
        <v/>
      </c>
      <c r="X84" s="208" t="str">
        <f>IF(ISERROR(VALUE(RIGHT(L84,1))),"",VALUE(RIGHT(L84,1)))</f>
        <v/>
      </c>
      <c r="Y84" s="209" t="str">
        <f t="shared" si="40"/>
        <v/>
      </c>
      <c r="Z84" s="210" t="str">
        <f t="shared" si="36"/>
        <v/>
      </c>
      <c r="AA84" s="211" t="str">
        <f t="shared" si="37"/>
        <v/>
      </c>
      <c r="AB84" s="212" t="str">
        <f t="shared" si="38"/>
        <v/>
      </c>
      <c r="AC84" s="213" t="str">
        <f t="shared" si="39"/>
        <v/>
      </c>
      <c r="AD84" s="211" t="str">
        <f>IF(B84&gt;0,SUM(T83:T88),"")</f>
        <v/>
      </c>
      <c r="AE84" s="199" t="str">
        <f t="shared" si="41"/>
        <v/>
      </c>
      <c r="AF84" s="199" t="str">
        <f t="shared" ref="AF84:AF87" si="46">IF(ISERROR(D84),"",D84)</f>
        <v/>
      </c>
      <c r="AG84" s="242"/>
      <c r="AH84" s="245" t="str">
        <f t="shared" si="42"/>
        <v/>
      </c>
      <c r="AM84" s="214">
        <f>IF(N83="V",IF(M84="D",0,1),IF(N83="D",IF(M84="V",0,1),1))</f>
        <v>1</v>
      </c>
      <c r="AN84" s="215"/>
      <c r="AO84" s="215">
        <f>IF(O84="V",IF(N85="D",0,1),IF(O84="D",IF(N85="V",0,1),1))</f>
        <v>1</v>
      </c>
      <c r="AP84" s="215">
        <f>IF(P84="V",IF(N86="D",0,1),IF(P84="D",IF(N86="V",0,1),1))</f>
        <v>1</v>
      </c>
      <c r="AQ84" s="215">
        <f>IF(Q84="V",IF(N87="D",0,1),IF(Q84="D",IF(N87="V",0,1),1))</f>
        <v>1</v>
      </c>
      <c r="AR84" s="216">
        <f>IF(R84="V",IF(N88="D",0,1),IF(R84="D",IF(N88="V",0,1),1))</f>
        <v>1</v>
      </c>
    </row>
    <row r="85" spans="1:44" ht="12" customHeight="1">
      <c r="A85" s="196" t="str">
        <f>IF(B85="","",14)</f>
        <v/>
      </c>
      <c r="B85" s="197"/>
      <c r="C85" s="198" t="str">
        <f>IF(F85="","",3)</f>
        <v/>
      </c>
      <c r="D85" s="199" t="str">
        <f t="shared" si="33"/>
        <v/>
      </c>
      <c r="E85" s="200" t="str">
        <f t="shared" si="34"/>
        <v/>
      </c>
      <c r="F85" s="201" t="str">
        <f t="shared" si="35"/>
        <v/>
      </c>
      <c r="G85" s="202"/>
      <c r="H85" s="204"/>
      <c r="I85" s="203"/>
      <c r="J85" s="204"/>
      <c r="K85" s="204"/>
      <c r="L85" s="205"/>
      <c r="M85" s="206" t="str">
        <f>LEFT(G85,1)</f>
        <v/>
      </c>
      <c r="N85" s="207" t="str">
        <f>LEFT(H85,1)</f>
        <v/>
      </c>
      <c r="O85" s="207"/>
      <c r="P85" s="207" t="str">
        <f>LEFT(J85,1)</f>
        <v/>
      </c>
      <c r="Q85" s="207" t="str">
        <f>LEFT(K85,1)</f>
        <v/>
      </c>
      <c r="R85" s="208" t="str">
        <f t="shared" si="44"/>
        <v/>
      </c>
      <c r="S85" s="206" t="str">
        <f>IF(ISERROR(VALUE(RIGHT(G85,1))),"",VALUE(RIGHT(G85,1)))</f>
        <v/>
      </c>
      <c r="T85" s="207" t="str">
        <f>IF(ISERROR(VALUE(RIGHT(H85,1))),"",VALUE(RIGHT(H85,1)))</f>
        <v/>
      </c>
      <c r="U85" s="207"/>
      <c r="V85" s="207" t="str">
        <f>IF(ISERROR(VALUE(RIGHT(J85,1))),"",VALUE(RIGHT(J85,1)))</f>
        <v/>
      </c>
      <c r="W85" s="207" t="str">
        <f>IF(ISERROR(VALUE(RIGHT(K85,1))),"",VALUE(RIGHT(K85,1)))</f>
        <v/>
      </c>
      <c r="X85" s="208" t="str">
        <f>IF(ISERROR(VALUE(RIGHT(L85,1))),"",VALUE(RIGHT(L85,1)))</f>
        <v/>
      </c>
      <c r="Y85" s="209" t="str">
        <f t="shared" si="40"/>
        <v/>
      </c>
      <c r="Z85" s="210" t="str">
        <f t="shared" si="36"/>
        <v/>
      </c>
      <c r="AA85" s="211" t="str">
        <f t="shared" si="37"/>
        <v/>
      </c>
      <c r="AB85" s="212" t="str">
        <f t="shared" si="38"/>
        <v/>
      </c>
      <c r="AC85" s="213" t="str">
        <f t="shared" si="39"/>
        <v/>
      </c>
      <c r="AD85" s="211" t="str">
        <f>IF(B85&gt;0,SUM(U83:U88),"")</f>
        <v/>
      </c>
      <c r="AE85" s="199" t="str">
        <f t="shared" si="41"/>
        <v/>
      </c>
      <c r="AF85" s="199" t="str">
        <f t="shared" si="46"/>
        <v/>
      </c>
      <c r="AG85" s="242"/>
      <c r="AH85" s="245" t="str">
        <f t="shared" si="42"/>
        <v/>
      </c>
      <c r="AM85" s="214">
        <f>IF(O83="V",IF(M85="D",0,1),IF(O83="D",IF(M85="V",0,1),1))</f>
        <v>1</v>
      </c>
      <c r="AN85" s="215">
        <f>IF(O84="V",IF(N85="D",0,1),IF(O84="D",IF(N85="V",0,1),1))</f>
        <v>1</v>
      </c>
      <c r="AO85" s="215"/>
      <c r="AP85" s="215">
        <f>IF(P85="V",IF(O86="D",0,1),IF(P85="D",IF(O86="V",0,1),1))</f>
        <v>1</v>
      </c>
      <c r="AQ85" s="215">
        <f>IF(Q85="V",IF(O87="D",0,1),IF(Q85="D",IF(O87="V",0,1),1))</f>
        <v>1</v>
      </c>
      <c r="AR85" s="216">
        <f>IF(R85="V",IF(O88="D",0,1),IF(R85="D",IF(O88="V",0,1),1))</f>
        <v>1</v>
      </c>
    </row>
    <row r="86" spans="1:44" ht="12" customHeight="1">
      <c r="A86" s="196" t="str">
        <f>IF(B86="","",14)</f>
        <v/>
      </c>
      <c r="B86" s="197"/>
      <c r="C86" s="198" t="str">
        <f>IF(F86="","",4)</f>
        <v/>
      </c>
      <c r="D86" s="199" t="str">
        <f t="shared" si="33"/>
        <v/>
      </c>
      <c r="E86" s="200" t="str">
        <f t="shared" si="34"/>
        <v/>
      </c>
      <c r="F86" s="201" t="str">
        <f t="shared" si="35"/>
        <v/>
      </c>
      <c r="G86" s="202"/>
      <c r="H86" s="204"/>
      <c r="I86" s="204"/>
      <c r="J86" s="203"/>
      <c r="K86" s="204"/>
      <c r="L86" s="205"/>
      <c r="M86" s="206" t="str">
        <f>LEFT(G86,1)</f>
        <v/>
      </c>
      <c r="N86" s="207" t="str">
        <f>LEFT(H86,1)</f>
        <v/>
      </c>
      <c r="O86" s="207" t="str">
        <f>LEFT(I86,1)</f>
        <v/>
      </c>
      <c r="P86" s="207"/>
      <c r="Q86" s="207" t="str">
        <f>LEFT(K86,1)</f>
        <v/>
      </c>
      <c r="R86" s="208" t="str">
        <f t="shared" si="44"/>
        <v/>
      </c>
      <c r="S86" s="206" t="str">
        <f>IF(ISERROR(VALUE(RIGHT(G86,1))),"",VALUE(RIGHT(G86,1)))</f>
        <v/>
      </c>
      <c r="T86" s="207" t="str">
        <f>IF(ISERROR(VALUE(RIGHT(H86,1))),"",VALUE(RIGHT(H86,1)))</f>
        <v/>
      </c>
      <c r="U86" s="207" t="str">
        <f>IF(ISERROR(VALUE(RIGHT(I86,1))),"",VALUE(RIGHT(I86,1)))</f>
        <v/>
      </c>
      <c r="V86" s="207"/>
      <c r="W86" s="207" t="str">
        <f>IF(ISERROR(VALUE(RIGHT(K86,1))),"",VALUE(RIGHT(K86,1)))</f>
        <v/>
      </c>
      <c r="X86" s="208" t="str">
        <f>IF(ISERROR(VALUE(RIGHT(L86,1))),"",VALUE(RIGHT(L86,1)))</f>
        <v/>
      </c>
      <c r="Y86" s="209" t="str">
        <f t="shared" si="40"/>
        <v/>
      </c>
      <c r="Z86" s="210" t="str">
        <f t="shared" si="36"/>
        <v/>
      </c>
      <c r="AA86" s="211" t="str">
        <f t="shared" si="37"/>
        <v/>
      </c>
      <c r="AB86" s="212" t="str">
        <f t="shared" si="38"/>
        <v/>
      </c>
      <c r="AC86" s="213" t="str">
        <f t="shared" si="39"/>
        <v/>
      </c>
      <c r="AD86" s="211" t="str">
        <f>IF(B86&gt;0,SUM(V83:V88),"")</f>
        <v/>
      </c>
      <c r="AE86" s="199" t="str">
        <f t="shared" si="41"/>
        <v/>
      </c>
      <c r="AF86" s="199" t="str">
        <f t="shared" si="46"/>
        <v/>
      </c>
      <c r="AG86" s="242"/>
      <c r="AH86" s="245" t="str">
        <f t="shared" si="42"/>
        <v/>
      </c>
      <c r="AM86" s="214">
        <f>IF(P83="V",IF(M86="D",0,1),IF(P83="D",IF(M86="V",0,1),1))</f>
        <v>1</v>
      </c>
      <c r="AN86" s="215">
        <f>IF(P84="V",IF(N86="D",0,1),IF(P84="D",IF(N86="V",0,1),1))</f>
        <v>1</v>
      </c>
      <c r="AO86" s="215">
        <f>IF(P85="V",IF(O86="D",0,1),IF(P85="D",IF(O86="V",0,1),1))</f>
        <v>1</v>
      </c>
      <c r="AP86" s="215"/>
      <c r="AQ86" s="215">
        <f>IF(Q86="V",IF(P87="D",0,1),IF(Q86="D",IF(P87="V",0,1),1))</f>
        <v>1</v>
      </c>
      <c r="AR86" s="216">
        <f>IF(R86="V",IF(P88="D",0,1),IF(R86="D",IF(P88="V",0,1),1))</f>
        <v>1</v>
      </c>
    </row>
    <row r="87" spans="1:44" ht="12" customHeight="1">
      <c r="A87" s="196" t="str">
        <f>IF(B87="","",14)</f>
        <v/>
      </c>
      <c r="B87" s="197"/>
      <c r="C87" s="198" t="str">
        <f>IF(F87="","",5)</f>
        <v/>
      </c>
      <c r="D87" s="199" t="str">
        <f t="shared" si="33"/>
        <v/>
      </c>
      <c r="E87" s="200" t="str">
        <f t="shared" si="34"/>
        <v/>
      </c>
      <c r="F87" s="201" t="str">
        <f t="shared" si="35"/>
        <v/>
      </c>
      <c r="G87" s="202"/>
      <c r="H87" s="204"/>
      <c r="I87" s="204"/>
      <c r="J87" s="204"/>
      <c r="K87" s="203"/>
      <c r="L87" s="205"/>
      <c r="M87" s="206" t="str">
        <f>LEFT(G87,1)</f>
        <v/>
      </c>
      <c r="N87" s="207" t="str">
        <f>LEFT(H87,1)</f>
        <v/>
      </c>
      <c r="O87" s="207" t="str">
        <f>LEFT(I87,1)</f>
        <v/>
      </c>
      <c r="P87" s="207" t="str">
        <f>LEFT(J87,1)</f>
        <v/>
      </c>
      <c r="Q87" s="207"/>
      <c r="R87" s="208" t="str">
        <f t="shared" si="44"/>
        <v/>
      </c>
      <c r="S87" s="206" t="str">
        <f>IF(ISERROR(VALUE(RIGHT(G87,1))),"",VALUE(RIGHT(G87,1)))</f>
        <v/>
      </c>
      <c r="T87" s="207" t="str">
        <f>IF(ISERROR(VALUE(RIGHT(H87,1))),"",VALUE(RIGHT(H87,1)))</f>
        <v/>
      </c>
      <c r="U87" s="207" t="str">
        <f>IF(ISERROR(VALUE(RIGHT(I87,1))),"",VALUE(RIGHT(I87,1)))</f>
        <v/>
      </c>
      <c r="V87" s="207" t="str">
        <f>IF(ISERROR(VALUE(RIGHT(J87,1))),"",VALUE(RIGHT(J87,1)))</f>
        <v/>
      </c>
      <c r="W87" s="207"/>
      <c r="X87" s="208" t="str">
        <f>IF(ISERROR(VALUE(RIGHT(L87,1))),"",VALUE(RIGHT(L87,1)))</f>
        <v/>
      </c>
      <c r="Y87" s="209" t="str">
        <f t="shared" si="40"/>
        <v/>
      </c>
      <c r="Z87" s="210" t="str">
        <f t="shared" si="36"/>
        <v/>
      </c>
      <c r="AA87" s="211" t="str">
        <f t="shared" si="37"/>
        <v/>
      </c>
      <c r="AB87" s="212" t="str">
        <f t="shared" si="38"/>
        <v/>
      </c>
      <c r="AC87" s="213" t="str">
        <f t="shared" si="39"/>
        <v/>
      </c>
      <c r="AD87" s="211" t="str">
        <f>IF(B87&gt;0,SUM(W83:W88),"")</f>
        <v/>
      </c>
      <c r="AE87" s="199" t="str">
        <f t="shared" si="41"/>
        <v/>
      </c>
      <c r="AF87" s="199" t="str">
        <f t="shared" si="46"/>
        <v/>
      </c>
      <c r="AG87" s="242"/>
      <c r="AH87" s="245" t="str">
        <f t="shared" si="42"/>
        <v/>
      </c>
      <c r="AM87" s="214">
        <f>IF(Q83="V",IF(M87="D",0,1),IF(Q83="D",IF(M87="V",0,1),1))</f>
        <v>1</v>
      </c>
      <c r="AN87" s="215">
        <f>IF(Q84="V",IF(N87="D",0,1),IF(Q84="D",IF(N87="V",0,1),1))</f>
        <v>1</v>
      </c>
      <c r="AO87" s="215">
        <f>IF(Q85="V",IF(O87="D",0,1),IF(Q85="D",IF(O87="V",0,1),1))</f>
        <v>1</v>
      </c>
      <c r="AP87" s="215">
        <f>IF(Q86="V",IF(P87="D",0,1),IF(Q86="D",IF(P87="V",0,1),1))</f>
        <v>1</v>
      </c>
      <c r="AQ87" s="215"/>
      <c r="AR87" s="216">
        <f>IF(R87="V",IF(Q88="D",0,1),IF(R87="D",IF(Q88="V",0,1),1))</f>
        <v>1</v>
      </c>
    </row>
    <row r="88" spans="1:44" ht="12" customHeight="1">
      <c r="A88" s="217" t="str">
        <f>IF(B88="","",14)</f>
        <v/>
      </c>
      <c r="B88" s="218"/>
      <c r="C88" s="219" t="str">
        <f>IF(F88="","",6)</f>
        <v/>
      </c>
      <c r="D88" s="220" t="str">
        <f t="shared" si="33"/>
        <v/>
      </c>
      <c r="E88" s="221" t="str">
        <f t="shared" si="34"/>
        <v/>
      </c>
      <c r="F88" s="222" t="str">
        <f t="shared" si="35"/>
        <v/>
      </c>
      <c r="G88" s="223"/>
      <c r="H88" s="224"/>
      <c r="I88" s="224"/>
      <c r="J88" s="224"/>
      <c r="K88" s="224"/>
      <c r="L88" s="225"/>
      <c r="M88" s="226" t="str">
        <f>LEFT(G88,1)</f>
        <v/>
      </c>
      <c r="N88" s="227" t="str">
        <f>LEFT(H88,1)</f>
        <v/>
      </c>
      <c r="O88" s="227" t="str">
        <f>LEFT(I88,1)</f>
        <v/>
      </c>
      <c r="P88" s="227" t="str">
        <f>LEFT(J88,1)</f>
        <v/>
      </c>
      <c r="Q88" s="227" t="str">
        <f>LEFT(K88,1)</f>
        <v/>
      </c>
      <c r="R88" s="228" t="str">
        <f t="shared" si="44"/>
        <v/>
      </c>
      <c r="S88" s="226" t="str">
        <f>IF(ISERROR(VALUE(RIGHT(G88,1))),"",VALUE(RIGHT(G88,1)))</f>
        <v/>
      </c>
      <c r="T88" s="227" t="str">
        <f>IF(ISERROR(VALUE(RIGHT(H88,1))),"",VALUE(RIGHT(H88,1)))</f>
        <v/>
      </c>
      <c r="U88" s="227" t="str">
        <f>IF(ISERROR(VALUE(RIGHT(I88,1))),"",VALUE(RIGHT(I88,1)))</f>
        <v/>
      </c>
      <c r="V88" s="227" t="str">
        <f>IF(ISERROR(VALUE(RIGHT(J88,1))),"",VALUE(RIGHT(J88,1)))</f>
        <v/>
      </c>
      <c r="W88" s="227" t="str">
        <f>IF(ISERROR(VALUE(RIGHT(K88,1))),"",VALUE(RIGHT(K88,1)))</f>
        <v/>
      </c>
      <c r="X88" s="228"/>
      <c r="Y88" s="229" t="str">
        <f t="shared" si="40"/>
        <v/>
      </c>
      <c r="Z88" s="230" t="str">
        <f t="shared" si="36"/>
        <v/>
      </c>
      <c r="AA88" s="231" t="str">
        <f t="shared" si="37"/>
        <v/>
      </c>
      <c r="AB88" s="232" t="str">
        <f t="shared" si="38"/>
        <v/>
      </c>
      <c r="AC88" s="233" t="str">
        <f t="shared" si="39"/>
        <v/>
      </c>
      <c r="AD88" s="231" t="str">
        <f>IF(B88&gt;0,SUM(X83:X88),"")</f>
        <v/>
      </c>
      <c r="AE88" s="234" t="str">
        <f t="shared" si="41"/>
        <v/>
      </c>
      <c r="AF88" s="234" t="str">
        <f>IF(ISERROR(D88),"",D88)</f>
        <v/>
      </c>
      <c r="AG88" s="243"/>
      <c r="AH88" s="246" t="str">
        <f t="shared" si="42"/>
        <v/>
      </c>
      <c r="AM88" s="235">
        <f>IF(R83="V",IF(M88="D",0,1),IF(R83="D",IF(M88="V",0,1),1))</f>
        <v>1</v>
      </c>
      <c r="AN88" s="236">
        <f>IF(R84="V",IF(N88="D",0,1),IF(R84="D",IF(N88="V",0,1),1))</f>
        <v>1</v>
      </c>
      <c r="AO88" s="236">
        <f>IF(R85="V",IF(O88="D",0,1),IF(R85="D",IF(O88="V",0,1),1))</f>
        <v>1</v>
      </c>
      <c r="AP88" s="236">
        <f>IF(R86="V",IF(P88="D",0,1),IF(R86="D",IF(P88="V",0,1),1))</f>
        <v>1</v>
      </c>
      <c r="AQ88" s="236">
        <f>IF(R87="V",IF(Q88="D",0,1),IF(R87="D",IF(Q88="V",0,1),1))</f>
        <v>1</v>
      </c>
      <c r="AR88" s="237"/>
    </row>
    <row r="89" spans="1:44" ht="12" customHeight="1">
      <c r="A89" s="175">
        <v>15</v>
      </c>
      <c r="B89" s="176"/>
      <c r="C89" s="177" t="str">
        <f>IF(F89="","",1)</f>
        <v/>
      </c>
      <c r="D89" s="178" t="str">
        <f t="shared" si="33"/>
        <v/>
      </c>
      <c r="E89" s="179" t="str">
        <f t="shared" si="34"/>
        <v/>
      </c>
      <c r="F89" s="180" t="str">
        <f t="shared" si="35"/>
        <v/>
      </c>
      <c r="G89" s="181"/>
      <c r="H89" s="182"/>
      <c r="I89" s="182"/>
      <c r="J89" s="182"/>
      <c r="K89" s="182"/>
      <c r="L89" s="183"/>
      <c r="M89" s="184"/>
      <c r="N89" s="185" t="str">
        <f>LEFT(H89,1)</f>
        <v/>
      </c>
      <c r="O89" s="185" t="str">
        <f>LEFT(I89,1)</f>
        <v/>
      </c>
      <c r="P89" s="185" t="str">
        <f>LEFT(J89,1)</f>
        <v/>
      </c>
      <c r="Q89" s="185" t="str">
        <f>LEFT(K89,1)</f>
        <v/>
      </c>
      <c r="R89" s="186" t="str">
        <f t="shared" si="44"/>
        <v/>
      </c>
      <c r="S89" s="184"/>
      <c r="T89" s="185" t="str">
        <f>IF(ISERROR(VALUE(RIGHT(H89,1))),"",VALUE(RIGHT(H89,1)))</f>
        <v/>
      </c>
      <c r="U89" s="185" t="str">
        <f>IF(ISERROR(VALUE(RIGHT(I89,1))),"",VALUE(RIGHT(I89,1)))</f>
        <v/>
      </c>
      <c r="V89" s="185" t="str">
        <f>IF(ISERROR(VALUE(RIGHT(J89,1))),"",VALUE(RIGHT(J89,1)))</f>
        <v/>
      </c>
      <c r="W89" s="185" t="str">
        <f>IF(ISERROR(VALUE(RIGHT(K89,1))),"",VALUE(RIGHT(K89,1)))</f>
        <v/>
      </c>
      <c r="X89" s="186" t="str">
        <f>IF(ISERROR(VALUE(RIGHT(L89,1))),"",VALUE(RIGHT(L89,1)))</f>
        <v/>
      </c>
      <c r="Y89" s="187" t="str">
        <f t="shared" si="40"/>
        <v/>
      </c>
      <c r="Z89" s="188" t="str">
        <f t="shared" si="36"/>
        <v/>
      </c>
      <c r="AA89" s="189" t="str">
        <f t="shared" si="37"/>
        <v/>
      </c>
      <c r="AB89" s="190" t="str">
        <f t="shared" si="38"/>
        <v/>
      </c>
      <c r="AC89" s="191" t="str">
        <f t="shared" si="39"/>
        <v/>
      </c>
      <c r="AD89" s="189" t="str">
        <f>IF(B89&gt;0,SUM(S89:S94),"")</f>
        <v/>
      </c>
      <c r="AE89" s="178" t="str">
        <f t="shared" si="41"/>
        <v/>
      </c>
      <c r="AF89" s="178" t="str">
        <f>IF(ISERROR(D89),"",D89)</f>
        <v/>
      </c>
      <c r="AG89" s="241"/>
      <c r="AH89" s="244" t="str">
        <f t="shared" si="42"/>
        <v/>
      </c>
      <c r="AM89" s="193"/>
      <c r="AN89" s="194">
        <f>IF(N89="V",IF(M90="D",0,1),IF(N89="D",IF(M90="V",0,1),1))</f>
        <v>1</v>
      </c>
      <c r="AO89" s="194">
        <f>IF(O89="V",IF(M91="D",0,1),IF(O89="D",IF(M91="V",0,1),1))</f>
        <v>1</v>
      </c>
      <c r="AP89" s="194">
        <f>IF(P89="V",IF(M92="D",0,1),IF(P89="D",IF(M92="V",0,1),1))</f>
        <v>1</v>
      </c>
      <c r="AQ89" s="194">
        <f>IF(Q89="V",IF(M93="D",0,1),IF(Q89="D",IF(M93="V",0,1),1))</f>
        <v>1</v>
      </c>
      <c r="AR89" s="195">
        <f>IF(R89="V",IF(M94="D",0,1),IF(R89="D",IF(M94="V",0,1),1))</f>
        <v>1</v>
      </c>
    </row>
    <row r="90" spans="1:44" ht="12" customHeight="1">
      <c r="A90" s="196" t="str">
        <f>IF(B90="","",15)</f>
        <v/>
      </c>
      <c r="B90" s="197"/>
      <c r="C90" s="198" t="str">
        <f>IF(F90="","",2)</f>
        <v/>
      </c>
      <c r="D90" s="199" t="str">
        <f t="shared" si="33"/>
        <v/>
      </c>
      <c r="E90" s="200" t="str">
        <f t="shared" si="34"/>
        <v/>
      </c>
      <c r="F90" s="201" t="str">
        <f t="shared" si="35"/>
        <v/>
      </c>
      <c r="G90" s="202"/>
      <c r="H90" s="203"/>
      <c r="I90" s="204"/>
      <c r="J90" s="204"/>
      <c r="K90" s="204"/>
      <c r="L90" s="205"/>
      <c r="M90" s="206" t="str">
        <f>LEFT(G90,1)</f>
        <v/>
      </c>
      <c r="N90" s="207"/>
      <c r="O90" s="207" t="str">
        <f>LEFT(I90,1)</f>
        <v/>
      </c>
      <c r="P90" s="207" t="str">
        <f>LEFT(J90,1)</f>
        <v/>
      </c>
      <c r="Q90" s="207" t="str">
        <f>LEFT(K90,1)</f>
        <v/>
      </c>
      <c r="R90" s="208" t="str">
        <f t="shared" si="44"/>
        <v/>
      </c>
      <c r="S90" s="206" t="str">
        <f>IF(ISERROR(VALUE(RIGHT(G90,1))),"",VALUE(RIGHT(G90,1)))</f>
        <v/>
      </c>
      <c r="T90" s="207"/>
      <c r="U90" s="207" t="str">
        <f>IF(ISERROR(VALUE(RIGHT(I90,1))),"",VALUE(RIGHT(I90,1)))</f>
        <v/>
      </c>
      <c r="V90" s="207" t="str">
        <f>IF(ISERROR(VALUE(RIGHT(J90,1))),"",VALUE(RIGHT(J90,1)))</f>
        <v/>
      </c>
      <c r="W90" s="207" t="str">
        <f>IF(ISERROR(VALUE(RIGHT(K90,1))),"",VALUE(RIGHT(K90,1)))</f>
        <v/>
      </c>
      <c r="X90" s="208" t="str">
        <f>IF(ISERROR(VALUE(RIGHT(L90,1))),"",VALUE(RIGHT(L90,1)))</f>
        <v/>
      </c>
      <c r="Y90" s="209" t="str">
        <f t="shared" si="40"/>
        <v/>
      </c>
      <c r="Z90" s="210" t="str">
        <f t="shared" si="36"/>
        <v/>
      </c>
      <c r="AA90" s="211" t="str">
        <f t="shared" si="37"/>
        <v/>
      </c>
      <c r="AB90" s="212" t="str">
        <f t="shared" si="38"/>
        <v/>
      </c>
      <c r="AC90" s="213" t="str">
        <f t="shared" si="39"/>
        <v/>
      </c>
      <c r="AD90" s="211" t="str">
        <f>IF(B90&gt;0,SUM(T89:T94),"")</f>
        <v/>
      </c>
      <c r="AE90" s="199" t="str">
        <f t="shared" si="41"/>
        <v/>
      </c>
      <c r="AF90" s="199" t="str">
        <f t="shared" ref="AF90:AF93" si="47">IF(ISERROR(D90),"",D90)</f>
        <v/>
      </c>
      <c r="AG90" s="242"/>
      <c r="AH90" s="245" t="str">
        <f t="shared" si="42"/>
        <v/>
      </c>
      <c r="AM90" s="214">
        <f>IF(N89="V",IF(M90="D",0,1),IF(N89="D",IF(M90="V",0,1),1))</f>
        <v>1</v>
      </c>
      <c r="AN90" s="215"/>
      <c r="AO90" s="215">
        <f>IF(O90="V",IF(N91="D",0,1),IF(O90="D",IF(N91="V",0,1),1))</f>
        <v>1</v>
      </c>
      <c r="AP90" s="215">
        <f>IF(P90="V",IF(N92="D",0,1),IF(P90="D",IF(N92="V",0,1),1))</f>
        <v>1</v>
      </c>
      <c r="AQ90" s="215">
        <f>IF(Q90="V",IF(N93="D",0,1),IF(Q90="D",IF(N93="V",0,1),1))</f>
        <v>1</v>
      </c>
      <c r="AR90" s="216">
        <f>IF(R90="V",IF(N94="D",0,1),IF(R90="D",IF(N94="V",0,1),1))</f>
        <v>1</v>
      </c>
    </row>
    <row r="91" spans="1:44" ht="12" customHeight="1">
      <c r="A91" s="196" t="str">
        <f>IF(B91="","",15)</f>
        <v/>
      </c>
      <c r="B91" s="197"/>
      <c r="C91" s="198" t="str">
        <f>IF(F91="","",3)</f>
        <v/>
      </c>
      <c r="D91" s="199" t="str">
        <f t="shared" si="33"/>
        <v/>
      </c>
      <c r="E91" s="200" t="str">
        <f t="shared" si="34"/>
        <v/>
      </c>
      <c r="F91" s="201" t="str">
        <f t="shared" si="35"/>
        <v/>
      </c>
      <c r="G91" s="202"/>
      <c r="H91" s="204"/>
      <c r="I91" s="203"/>
      <c r="J91" s="204"/>
      <c r="K91" s="204"/>
      <c r="L91" s="205"/>
      <c r="M91" s="206" t="str">
        <f>LEFT(G91,1)</f>
        <v/>
      </c>
      <c r="N91" s="207" t="str">
        <f>LEFT(H91,1)</f>
        <v/>
      </c>
      <c r="O91" s="207"/>
      <c r="P91" s="207" t="str">
        <f>LEFT(J91,1)</f>
        <v/>
      </c>
      <c r="Q91" s="207" t="str">
        <f>LEFT(K91,1)</f>
        <v/>
      </c>
      <c r="R91" s="208" t="str">
        <f t="shared" si="44"/>
        <v/>
      </c>
      <c r="S91" s="206" t="str">
        <f>IF(ISERROR(VALUE(RIGHT(G91,1))),"",VALUE(RIGHT(G91,1)))</f>
        <v/>
      </c>
      <c r="T91" s="207" t="str">
        <f>IF(ISERROR(VALUE(RIGHT(H91,1))),"",VALUE(RIGHT(H91,1)))</f>
        <v/>
      </c>
      <c r="U91" s="207"/>
      <c r="V91" s="207" t="str">
        <f>IF(ISERROR(VALUE(RIGHT(J91,1))),"",VALUE(RIGHT(J91,1)))</f>
        <v/>
      </c>
      <c r="W91" s="207" t="str">
        <f>IF(ISERROR(VALUE(RIGHT(K91,1))),"",VALUE(RIGHT(K91,1)))</f>
        <v/>
      </c>
      <c r="X91" s="208" t="str">
        <f>IF(ISERROR(VALUE(RIGHT(L91,1))),"",VALUE(RIGHT(L91,1)))</f>
        <v/>
      </c>
      <c r="Y91" s="209" t="str">
        <f t="shared" si="40"/>
        <v/>
      </c>
      <c r="Z91" s="210" t="str">
        <f t="shared" si="36"/>
        <v/>
      </c>
      <c r="AA91" s="211" t="str">
        <f t="shared" si="37"/>
        <v/>
      </c>
      <c r="AB91" s="212" t="str">
        <f t="shared" si="38"/>
        <v/>
      </c>
      <c r="AC91" s="213" t="str">
        <f t="shared" si="39"/>
        <v/>
      </c>
      <c r="AD91" s="211" t="str">
        <f>IF(B91&gt;0,SUM(U89:U94),"")</f>
        <v/>
      </c>
      <c r="AE91" s="199" t="str">
        <f t="shared" si="41"/>
        <v/>
      </c>
      <c r="AF91" s="199" t="str">
        <f t="shared" si="47"/>
        <v/>
      </c>
      <c r="AG91" s="242"/>
      <c r="AH91" s="245" t="str">
        <f t="shared" si="42"/>
        <v/>
      </c>
      <c r="AM91" s="214">
        <f>IF(O89="V",IF(M91="D",0,1),IF(O89="D",IF(M91="V",0,1),1))</f>
        <v>1</v>
      </c>
      <c r="AN91" s="215">
        <f>IF(O90="V",IF(N91="D",0,1),IF(O90="D",IF(N91="V",0,1),1))</f>
        <v>1</v>
      </c>
      <c r="AO91" s="215"/>
      <c r="AP91" s="215">
        <f>IF(P91="V",IF(O92="D",0,1),IF(P91="D",IF(O92="V",0,1),1))</f>
        <v>1</v>
      </c>
      <c r="AQ91" s="215">
        <f>IF(Q91="V",IF(O93="D",0,1),IF(Q91="D",IF(O93="V",0,1),1))</f>
        <v>1</v>
      </c>
      <c r="AR91" s="216">
        <f>IF(R91="V",IF(O94="D",0,1),IF(R91="D",IF(O94="V",0,1),1))</f>
        <v>1</v>
      </c>
    </row>
    <row r="92" spans="1:44" ht="12" customHeight="1">
      <c r="A92" s="196" t="str">
        <f>IF(B92="","",15)</f>
        <v/>
      </c>
      <c r="B92" s="197"/>
      <c r="C92" s="198" t="str">
        <f>IF(F92="","",4)</f>
        <v/>
      </c>
      <c r="D92" s="199" t="str">
        <f t="shared" si="33"/>
        <v/>
      </c>
      <c r="E92" s="200" t="str">
        <f t="shared" si="34"/>
        <v/>
      </c>
      <c r="F92" s="201" t="str">
        <f t="shared" si="35"/>
        <v/>
      </c>
      <c r="G92" s="202"/>
      <c r="H92" s="204"/>
      <c r="I92" s="204"/>
      <c r="J92" s="203"/>
      <c r="K92" s="204"/>
      <c r="L92" s="205"/>
      <c r="M92" s="206" t="str">
        <f>LEFT(G92,1)</f>
        <v/>
      </c>
      <c r="N92" s="207" t="str">
        <f>LEFT(H92,1)</f>
        <v/>
      </c>
      <c r="O92" s="207" t="str">
        <f>LEFT(I92,1)</f>
        <v/>
      </c>
      <c r="P92" s="207"/>
      <c r="Q92" s="207" t="str">
        <f>LEFT(K92,1)</f>
        <v/>
      </c>
      <c r="R92" s="208" t="str">
        <f t="shared" si="44"/>
        <v/>
      </c>
      <c r="S92" s="206" t="str">
        <f>IF(ISERROR(VALUE(RIGHT(G92,1))),"",VALUE(RIGHT(G92,1)))</f>
        <v/>
      </c>
      <c r="T92" s="207" t="str">
        <f>IF(ISERROR(VALUE(RIGHT(H92,1))),"",VALUE(RIGHT(H92,1)))</f>
        <v/>
      </c>
      <c r="U92" s="207" t="str">
        <f>IF(ISERROR(VALUE(RIGHT(I92,1))),"",VALUE(RIGHT(I92,1)))</f>
        <v/>
      </c>
      <c r="V92" s="207"/>
      <c r="W92" s="207" t="str">
        <f>IF(ISERROR(VALUE(RIGHT(K92,1))),"",VALUE(RIGHT(K92,1)))</f>
        <v/>
      </c>
      <c r="X92" s="208" t="str">
        <f>IF(ISERROR(VALUE(RIGHT(L92,1))),"",VALUE(RIGHT(L92,1)))</f>
        <v/>
      </c>
      <c r="Y92" s="209" t="str">
        <f t="shared" si="40"/>
        <v/>
      </c>
      <c r="Z92" s="210" t="str">
        <f t="shared" si="36"/>
        <v/>
      </c>
      <c r="AA92" s="211" t="str">
        <f t="shared" si="37"/>
        <v/>
      </c>
      <c r="AB92" s="212" t="str">
        <f t="shared" si="38"/>
        <v/>
      </c>
      <c r="AC92" s="213" t="str">
        <f t="shared" si="39"/>
        <v/>
      </c>
      <c r="AD92" s="211" t="str">
        <f>IF(B92&gt;0,SUM(V89:V94),"")</f>
        <v/>
      </c>
      <c r="AE92" s="199" t="str">
        <f t="shared" si="41"/>
        <v/>
      </c>
      <c r="AF92" s="199" t="str">
        <f t="shared" si="47"/>
        <v/>
      </c>
      <c r="AG92" s="242"/>
      <c r="AH92" s="245" t="str">
        <f t="shared" si="42"/>
        <v/>
      </c>
      <c r="AM92" s="214">
        <f>IF(P89="V",IF(M92="D",0,1),IF(P89="D",IF(M92="V",0,1),1))</f>
        <v>1</v>
      </c>
      <c r="AN92" s="215">
        <f>IF(P90="V",IF(N92="D",0,1),IF(P90="D",IF(N92="V",0,1),1))</f>
        <v>1</v>
      </c>
      <c r="AO92" s="215">
        <f>IF(P91="V",IF(O92="D",0,1),IF(P91="D",IF(O92="V",0,1),1))</f>
        <v>1</v>
      </c>
      <c r="AP92" s="215"/>
      <c r="AQ92" s="215">
        <f>IF(Q92="V",IF(P93="D",0,1),IF(Q92="D",IF(P93="V",0,1),1))</f>
        <v>1</v>
      </c>
      <c r="AR92" s="216">
        <f>IF(R92="V",IF(P94="D",0,1),IF(R92="D",IF(P94="V",0,1),1))</f>
        <v>1</v>
      </c>
    </row>
    <row r="93" spans="1:44" ht="12" customHeight="1">
      <c r="A93" s="196" t="str">
        <f>IF(B93="","",15)</f>
        <v/>
      </c>
      <c r="B93" s="197"/>
      <c r="C93" s="198" t="str">
        <f>IF(F93="","",5)</f>
        <v/>
      </c>
      <c r="D93" s="199" t="str">
        <f t="shared" si="33"/>
        <v/>
      </c>
      <c r="E93" s="200" t="str">
        <f t="shared" si="34"/>
        <v/>
      </c>
      <c r="F93" s="201" t="str">
        <f t="shared" si="35"/>
        <v/>
      </c>
      <c r="G93" s="202"/>
      <c r="H93" s="204"/>
      <c r="I93" s="204"/>
      <c r="J93" s="204"/>
      <c r="K93" s="203"/>
      <c r="L93" s="205"/>
      <c r="M93" s="206" t="str">
        <f>LEFT(G93,1)</f>
        <v/>
      </c>
      <c r="N93" s="207" t="str">
        <f>LEFT(H93,1)</f>
        <v/>
      </c>
      <c r="O93" s="207" t="str">
        <f>LEFT(I93,1)</f>
        <v/>
      </c>
      <c r="P93" s="207" t="str">
        <f>LEFT(J93,1)</f>
        <v/>
      </c>
      <c r="Q93" s="207"/>
      <c r="R93" s="208" t="str">
        <f t="shared" si="44"/>
        <v/>
      </c>
      <c r="S93" s="206" t="str">
        <f>IF(ISERROR(VALUE(RIGHT(G93,1))),"",VALUE(RIGHT(G93,1)))</f>
        <v/>
      </c>
      <c r="T93" s="207" t="str">
        <f>IF(ISERROR(VALUE(RIGHT(H93,1))),"",VALUE(RIGHT(H93,1)))</f>
        <v/>
      </c>
      <c r="U93" s="207" t="str">
        <f>IF(ISERROR(VALUE(RIGHT(I93,1))),"",VALUE(RIGHT(I93,1)))</f>
        <v/>
      </c>
      <c r="V93" s="207" t="str">
        <f>IF(ISERROR(VALUE(RIGHT(J93,1))),"",VALUE(RIGHT(J93,1)))</f>
        <v/>
      </c>
      <c r="W93" s="207"/>
      <c r="X93" s="208" t="str">
        <f>IF(ISERROR(VALUE(RIGHT(L93,1))),"",VALUE(RIGHT(L93,1)))</f>
        <v/>
      </c>
      <c r="Y93" s="209" t="str">
        <f t="shared" si="40"/>
        <v/>
      </c>
      <c r="Z93" s="210" t="str">
        <f t="shared" si="36"/>
        <v/>
      </c>
      <c r="AA93" s="211" t="str">
        <f t="shared" si="37"/>
        <v/>
      </c>
      <c r="AB93" s="212" t="str">
        <f t="shared" si="38"/>
        <v/>
      </c>
      <c r="AC93" s="213" t="str">
        <f t="shared" si="39"/>
        <v/>
      </c>
      <c r="AD93" s="211" t="str">
        <f>IF(B93&gt;0,SUM(W89:W94),"")</f>
        <v/>
      </c>
      <c r="AE93" s="199" t="str">
        <f t="shared" si="41"/>
        <v/>
      </c>
      <c r="AF93" s="199" t="str">
        <f t="shared" si="47"/>
        <v/>
      </c>
      <c r="AG93" s="242"/>
      <c r="AH93" s="245" t="str">
        <f t="shared" si="42"/>
        <v/>
      </c>
      <c r="AM93" s="214">
        <f>IF(Q89="V",IF(M93="D",0,1),IF(Q89="D",IF(M93="V",0,1),1))</f>
        <v>1</v>
      </c>
      <c r="AN93" s="215">
        <f>IF(Q90="V",IF(N93="D",0,1),IF(Q90="D",IF(N93="V",0,1),1))</f>
        <v>1</v>
      </c>
      <c r="AO93" s="215">
        <f>IF(Q91="V",IF(O93="D",0,1),IF(Q91="D",IF(O93="V",0,1),1))</f>
        <v>1</v>
      </c>
      <c r="AP93" s="215">
        <f>IF(Q92="V",IF(P93="D",0,1),IF(Q92="D",IF(P93="V",0,1),1))</f>
        <v>1</v>
      </c>
      <c r="AQ93" s="215"/>
      <c r="AR93" s="216">
        <f>IF(R93="V",IF(Q94="D",0,1),IF(R93="D",IF(Q94="V",0,1),1))</f>
        <v>1</v>
      </c>
    </row>
    <row r="94" spans="1:44" ht="12" customHeight="1">
      <c r="A94" s="217" t="str">
        <f>IF(B94="","",15)</f>
        <v/>
      </c>
      <c r="B94" s="218"/>
      <c r="C94" s="219" t="str">
        <f>IF(F94="","",6)</f>
        <v/>
      </c>
      <c r="D94" s="220" t="str">
        <f t="shared" si="33"/>
        <v/>
      </c>
      <c r="E94" s="221" t="str">
        <f t="shared" si="34"/>
        <v/>
      </c>
      <c r="F94" s="222" t="str">
        <f t="shared" si="35"/>
        <v/>
      </c>
      <c r="G94" s="223"/>
      <c r="H94" s="224"/>
      <c r="I94" s="224"/>
      <c r="J94" s="224"/>
      <c r="K94" s="224"/>
      <c r="L94" s="225"/>
      <c r="M94" s="226" t="str">
        <f>LEFT(G94,1)</f>
        <v/>
      </c>
      <c r="N94" s="227" t="str">
        <f>LEFT(H94,1)</f>
        <v/>
      </c>
      <c r="O94" s="227" t="str">
        <f>LEFT(I94,1)</f>
        <v/>
      </c>
      <c r="P94" s="227" t="str">
        <f>LEFT(J94,1)</f>
        <v/>
      </c>
      <c r="Q94" s="227" t="str">
        <f>LEFT(K94,1)</f>
        <v/>
      </c>
      <c r="R94" s="228" t="str">
        <f t="shared" si="44"/>
        <v/>
      </c>
      <c r="S94" s="226" t="str">
        <f>IF(ISERROR(VALUE(RIGHT(G94,1))),"",VALUE(RIGHT(G94,1)))</f>
        <v/>
      </c>
      <c r="T94" s="227" t="str">
        <f>IF(ISERROR(VALUE(RIGHT(H94,1))),"",VALUE(RIGHT(H94,1)))</f>
        <v/>
      </c>
      <c r="U94" s="227" t="str">
        <f>IF(ISERROR(VALUE(RIGHT(I94,1))),"",VALUE(RIGHT(I94,1)))</f>
        <v/>
      </c>
      <c r="V94" s="227" t="str">
        <f>IF(ISERROR(VALUE(RIGHT(J94,1))),"",VALUE(RIGHT(J94,1)))</f>
        <v/>
      </c>
      <c r="W94" s="227" t="str">
        <f>IF(ISERROR(VALUE(RIGHT(K94,1))),"",VALUE(RIGHT(K94,1)))</f>
        <v/>
      </c>
      <c r="X94" s="228"/>
      <c r="Y94" s="229" t="str">
        <f t="shared" si="40"/>
        <v/>
      </c>
      <c r="Z94" s="230" t="str">
        <f t="shared" si="36"/>
        <v/>
      </c>
      <c r="AA94" s="231" t="str">
        <f t="shared" si="37"/>
        <v/>
      </c>
      <c r="AB94" s="232" t="str">
        <f t="shared" si="38"/>
        <v/>
      </c>
      <c r="AC94" s="233" t="str">
        <f t="shared" si="39"/>
        <v/>
      </c>
      <c r="AD94" s="231" t="str">
        <f>IF(B94&gt;0,SUM(X89:X94),"")</f>
        <v/>
      </c>
      <c r="AE94" s="234" t="str">
        <f t="shared" si="41"/>
        <v/>
      </c>
      <c r="AF94" s="234" t="str">
        <f>IF(ISERROR(D94),"",D94)</f>
        <v/>
      </c>
      <c r="AG94" s="243"/>
      <c r="AH94" s="246" t="str">
        <f t="shared" si="42"/>
        <v/>
      </c>
      <c r="AM94" s="235">
        <f>IF(R89="V",IF(M94="D",0,1),IF(R89="D",IF(M94="V",0,1),1))</f>
        <v>1</v>
      </c>
      <c r="AN94" s="236">
        <f>IF(R90="V",IF(N94="D",0,1),IF(R90="D",IF(N94="V",0,1),1))</f>
        <v>1</v>
      </c>
      <c r="AO94" s="236">
        <f>IF(R91="V",IF(O94="D",0,1),IF(R91="D",IF(O94="V",0,1),1))</f>
        <v>1</v>
      </c>
      <c r="AP94" s="236">
        <f>IF(R92="V",IF(P94="D",0,1),IF(R92="D",IF(P94="V",0,1),1))</f>
        <v>1</v>
      </c>
      <c r="AQ94" s="236">
        <f>IF(R93="V",IF(Q94="D",0,1),IF(R93="D",IF(Q94="V",0,1),1))</f>
        <v>1</v>
      </c>
      <c r="AR94" s="237"/>
    </row>
    <row r="95" spans="1:44" ht="12" customHeight="1">
      <c r="A95" s="175">
        <v>16</v>
      </c>
      <c r="B95" s="176"/>
      <c r="C95" s="177" t="str">
        <f>IF(F95="","",1)</f>
        <v/>
      </c>
      <c r="D95" s="178" t="str">
        <f t="shared" si="33"/>
        <v/>
      </c>
      <c r="E95" s="179" t="str">
        <f t="shared" si="34"/>
        <v/>
      </c>
      <c r="F95" s="180" t="str">
        <f t="shared" si="35"/>
        <v/>
      </c>
      <c r="G95" s="181"/>
      <c r="H95" s="182"/>
      <c r="I95" s="182"/>
      <c r="J95" s="182"/>
      <c r="K95" s="182"/>
      <c r="L95" s="183"/>
      <c r="M95" s="184"/>
      <c r="N95" s="185" t="str">
        <f>LEFT(H95,1)</f>
        <v/>
      </c>
      <c r="O95" s="185" t="str">
        <f>LEFT(I95,1)</f>
        <v/>
      </c>
      <c r="P95" s="185" t="str">
        <f>LEFT(J95,1)</f>
        <v/>
      </c>
      <c r="Q95" s="185" t="str">
        <f>LEFT(K95,1)</f>
        <v/>
      </c>
      <c r="R95" s="186" t="str">
        <f t="shared" si="44"/>
        <v/>
      </c>
      <c r="S95" s="184"/>
      <c r="T95" s="185" t="str">
        <f>IF(ISERROR(VALUE(RIGHT(H95,1))),"",VALUE(RIGHT(H95,1)))</f>
        <v/>
      </c>
      <c r="U95" s="185" t="str">
        <f>IF(ISERROR(VALUE(RIGHT(I95,1))),"",VALUE(RIGHT(I95,1)))</f>
        <v/>
      </c>
      <c r="V95" s="185" t="str">
        <f>IF(ISERROR(VALUE(RIGHT(J95,1))),"",VALUE(RIGHT(J95,1)))</f>
        <v/>
      </c>
      <c r="W95" s="185" t="str">
        <f>IF(ISERROR(VALUE(RIGHT(K95,1))),"",VALUE(RIGHT(K95,1)))</f>
        <v/>
      </c>
      <c r="X95" s="186" t="str">
        <f>IF(ISERROR(VALUE(RIGHT(L95,1))),"",VALUE(RIGHT(L95,1)))</f>
        <v/>
      </c>
      <c r="Y95" s="187" t="str">
        <f t="shared" si="40"/>
        <v/>
      </c>
      <c r="Z95" s="188" t="str">
        <f t="shared" si="36"/>
        <v/>
      </c>
      <c r="AA95" s="189" t="str">
        <f t="shared" si="37"/>
        <v/>
      </c>
      <c r="AB95" s="190" t="str">
        <f t="shared" si="38"/>
        <v/>
      </c>
      <c r="AC95" s="191" t="str">
        <f t="shared" si="39"/>
        <v/>
      </c>
      <c r="AD95" s="189" t="str">
        <f>IF(B95&gt;0,SUM(S95:S100),"")</f>
        <v/>
      </c>
      <c r="AE95" s="178" t="str">
        <f t="shared" si="41"/>
        <v/>
      </c>
      <c r="AF95" s="178" t="str">
        <f>IF(ISERROR(D95),"",D95)</f>
        <v/>
      </c>
      <c r="AG95" s="241"/>
      <c r="AH95" s="244" t="str">
        <f t="shared" si="42"/>
        <v/>
      </c>
      <c r="AM95" s="193"/>
      <c r="AN95" s="194">
        <f>IF(N95="V",IF(M96="D",0,1),IF(N95="D",IF(M96="V",0,1),1))</f>
        <v>1</v>
      </c>
      <c r="AO95" s="194">
        <f>IF(O95="V",IF(M97="D",0,1),IF(O95="D",IF(M97="V",0,1),1))</f>
        <v>1</v>
      </c>
      <c r="AP95" s="194">
        <f>IF(P95="V",IF(M98="D",0,1),IF(P95="D",IF(M98="V",0,1),1))</f>
        <v>1</v>
      </c>
      <c r="AQ95" s="194">
        <f>IF(Q95="V",IF(M99="D",0,1),IF(Q95="D",IF(M99="V",0,1),1))</f>
        <v>1</v>
      </c>
      <c r="AR95" s="195">
        <f>IF(R95="V",IF(M100="D",0,1),IF(R95="D",IF(M100="V",0,1),1))</f>
        <v>1</v>
      </c>
    </row>
    <row r="96" spans="1:44" ht="12" customHeight="1">
      <c r="A96" s="196" t="str">
        <f>IF(B96="","",16)</f>
        <v/>
      </c>
      <c r="B96" s="197"/>
      <c r="C96" s="198" t="str">
        <f>IF(F96="","",2)</f>
        <v/>
      </c>
      <c r="D96" s="199" t="str">
        <f t="shared" si="33"/>
        <v/>
      </c>
      <c r="E96" s="200" t="str">
        <f t="shared" si="34"/>
        <v/>
      </c>
      <c r="F96" s="201" t="str">
        <f t="shared" si="35"/>
        <v/>
      </c>
      <c r="G96" s="202"/>
      <c r="H96" s="203"/>
      <c r="I96" s="204"/>
      <c r="J96" s="204"/>
      <c r="K96" s="204"/>
      <c r="L96" s="205"/>
      <c r="M96" s="206" t="str">
        <f>LEFT(G96,1)</f>
        <v/>
      </c>
      <c r="N96" s="207"/>
      <c r="O96" s="207" t="str">
        <f>LEFT(I96,1)</f>
        <v/>
      </c>
      <c r="P96" s="207" t="str">
        <f>LEFT(J96,1)</f>
        <v/>
      </c>
      <c r="Q96" s="207" t="str">
        <f>LEFT(K96,1)</f>
        <v/>
      </c>
      <c r="R96" s="208" t="str">
        <f t="shared" si="44"/>
        <v/>
      </c>
      <c r="S96" s="206" t="str">
        <f>IF(ISERROR(VALUE(RIGHT(G96,1))),"",VALUE(RIGHT(G96,1)))</f>
        <v/>
      </c>
      <c r="T96" s="207"/>
      <c r="U96" s="207" t="str">
        <f>IF(ISERROR(VALUE(RIGHT(I96,1))),"",VALUE(RIGHT(I96,1)))</f>
        <v/>
      </c>
      <c r="V96" s="207" t="str">
        <f>IF(ISERROR(VALUE(RIGHT(J96,1))),"",VALUE(RIGHT(J96,1)))</f>
        <v/>
      </c>
      <c r="W96" s="207" t="str">
        <f>IF(ISERROR(VALUE(RIGHT(K96,1))),"",VALUE(RIGHT(K96,1)))</f>
        <v/>
      </c>
      <c r="X96" s="208" t="str">
        <f>IF(ISERROR(VALUE(RIGHT(L96,1))),"",VALUE(RIGHT(L96,1)))</f>
        <v/>
      </c>
      <c r="Y96" s="209" t="str">
        <f t="shared" si="40"/>
        <v/>
      </c>
      <c r="Z96" s="210" t="str">
        <f t="shared" si="36"/>
        <v/>
      </c>
      <c r="AA96" s="211" t="str">
        <f t="shared" si="37"/>
        <v/>
      </c>
      <c r="AB96" s="212" t="str">
        <f t="shared" si="38"/>
        <v/>
      </c>
      <c r="AC96" s="213" t="str">
        <f t="shared" si="39"/>
        <v/>
      </c>
      <c r="AD96" s="211" t="str">
        <f>IF(B96&gt;0,SUM(T95:T100),"")</f>
        <v/>
      </c>
      <c r="AE96" s="199" t="str">
        <f t="shared" si="41"/>
        <v/>
      </c>
      <c r="AF96" s="199" t="str">
        <f t="shared" ref="AF96:AF99" si="48">IF(ISERROR(D96),"",D96)</f>
        <v/>
      </c>
      <c r="AG96" s="242"/>
      <c r="AH96" s="245" t="str">
        <f t="shared" si="42"/>
        <v/>
      </c>
      <c r="AM96" s="214">
        <f>IF(N95="V",IF(M96="D",0,1),IF(N95="D",IF(M96="V",0,1),1))</f>
        <v>1</v>
      </c>
      <c r="AN96" s="215"/>
      <c r="AO96" s="215">
        <f>IF(O96="V",IF(N97="D",0,1),IF(O96="D",IF(N97="V",0,1),1))</f>
        <v>1</v>
      </c>
      <c r="AP96" s="215">
        <f>IF(P96="V",IF(N98="D",0,1),IF(P96="D",IF(N98="V",0,1),1))</f>
        <v>1</v>
      </c>
      <c r="AQ96" s="215">
        <f>IF(Q96="V",IF(N99="D",0,1),IF(Q96="D",IF(N99="V",0,1),1))</f>
        <v>1</v>
      </c>
      <c r="AR96" s="216">
        <f>IF(R96="V",IF(N100="D",0,1),IF(R96="D",IF(N100="V",0,1),1))</f>
        <v>1</v>
      </c>
    </row>
    <row r="97" spans="1:44" ht="12" customHeight="1">
      <c r="A97" s="196" t="str">
        <f>IF(B97="","",16)</f>
        <v/>
      </c>
      <c r="B97" s="197"/>
      <c r="C97" s="198" t="str">
        <f>IF(F97="","",3)</f>
        <v/>
      </c>
      <c r="D97" s="199" t="str">
        <f t="shared" si="33"/>
        <v/>
      </c>
      <c r="E97" s="200" t="str">
        <f t="shared" si="34"/>
        <v/>
      </c>
      <c r="F97" s="201" t="str">
        <f t="shared" si="35"/>
        <v/>
      </c>
      <c r="G97" s="202"/>
      <c r="H97" s="204"/>
      <c r="I97" s="203"/>
      <c r="J97" s="204"/>
      <c r="K97" s="204"/>
      <c r="L97" s="205"/>
      <c r="M97" s="206" t="str">
        <f>LEFT(G97,1)</f>
        <v/>
      </c>
      <c r="N97" s="207" t="str">
        <f>LEFT(H97,1)</f>
        <v/>
      </c>
      <c r="O97" s="207"/>
      <c r="P97" s="207" t="str">
        <f>LEFT(J97,1)</f>
        <v/>
      </c>
      <c r="Q97" s="207" t="str">
        <f>LEFT(K97,1)</f>
        <v/>
      </c>
      <c r="R97" s="208" t="str">
        <f t="shared" si="44"/>
        <v/>
      </c>
      <c r="S97" s="206" t="str">
        <f>IF(ISERROR(VALUE(RIGHT(G97,1))),"",VALUE(RIGHT(G97,1)))</f>
        <v/>
      </c>
      <c r="T97" s="207" t="str">
        <f>IF(ISERROR(VALUE(RIGHT(H97,1))),"",VALUE(RIGHT(H97,1)))</f>
        <v/>
      </c>
      <c r="U97" s="207"/>
      <c r="V97" s="207" t="str">
        <f>IF(ISERROR(VALUE(RIGHT(J97,1))),"",VALUE(RIGHT(J97,1)))</f>
        <v/>
      </c>
      <c r="W97" s="207" t="str">
        <f>IF(ISERROR(VALUE(RIGHT(K97,1))),"",VALUE(RIGHT(K97,1)))</f>
        <v/>
      </c>
      <c r="X97" s="208" t="str">
        <f>IF(ISERROR(VALUE(RIGHT(L97,1))),"",VALUE(RIGHT(L97,1)))</f>
        <v/>
      </c>
      <c r="Y97" s="209" t="str">
        <f t="shared" si="40"/>
        <v/>
      </c>
      <c r="Z97" s="210" t="str">
        <f t="shared" si="36"/>
        <v/>
      </c>
      <c r="AA97" s="211" t="str">
        <f t="shared" si="37"/>
        <v/>
      </c>
      <c r="AB97" s="212" t="str">
        <f t="shared" si="38"/>
        <v/>
      </c>
      <c r="AC97" s="213" t="str">
        <f t="shared" si="39"/>
        <v/>
      </c>
      <c r="AD97" s="211" t="str">
        <f>IF(B97&gt;0,SUM(U95:U100),"")</f>
        <v/>
      </c>
      <c r="AE97" s="199" t="str">
        <f t="shared" si="41"/>
        <v/>
      </c>
      <c r="AF97" s="199" t="str">
        <f t="shared" si="48"/>
        <v/>
      </c>
      <c r="AG97" s="242"/>
      <c r="AH97" s="245" t="str">
        <f t="shared" si="42"/>
        <v/>
      </c>
      <c r="AM97" s="214">
        <f>IF(O95="V",IF(M97="D",0,1),IF(O95="D",IF(M97="V",0,1),1))</f>
        <v>1</v>
      </c>
      <c r="AN97" s="215">
        <f>IF(O96="V",IF(N97="D",0,1),IF(O96="D",IF(N97="V",0,1),1))</f>
        <v>1</v>
      </c>
      <c r="AO97" s="215"/>
      <c r="AP97" s="215">
        <f>IF(P97="V",IF(O98="D",0,1),IF(P97="D",IF(O98="V",0,1),1))</f>
        <v>1</v>
      </c>
      <c r="AQ97" s="215">
        <f>IF(Q97="V",IF(O99="D",0,1),IF(Q97="D",IF(O99="V",0,1),1))</f>
        <v>1</v>
      </c>
      <c r="AR97" s="216">
        <f>IF(R97="V",IF(O100="D",0,1),IF(R97="D",IF(O100="V",0,1),1))</f>
        <v>1</v>
      </c>
    </row>
    <row r="98" spans="1:44" ht="12" customHeight="1">
      <c r="A98" s="196" t="str">
        <f>IF(B98="","",16)</f>
        <v/>
      </c>
      <c r="B98" s="197"/>
      <c r="C98" s="198" t="str">
        <f>IF(F98="","",4)</f>
        <v/>
      </c>
      <c r="D98" s="199" t="str">
        <f t="shared" si="33"/>
        <v/>
      </c>
      <c r="E98" s="200" t="str">
        <f t="shared" si="34"/>
        <v/>
      </c>
      <c r="F98" s="201" t="str">
        <f t="shared" si="35"/>
        <v/>
      </c>
      <c r="G98" s="202"/>
      <c r="H98" s="204"/>
      <c r="I98" s="204"/>
      <c r="J98" s="203"/>
      <c r="K98" s="204"/>
      <c r="L98" s="205"/>
      <c r="M98" s="206" t="str">
        <f>LEFT(G98,1)</f>
        <v/>
      </c>
      <c r="N98" s="207" t="str">
        <f>LEFT(H98,1)</f>
        <v/>
      </c>
      <c r="O98" s="207" t="str">
        <f>LEFT(I98,1)</f>
        <v/>
      </c>
      <c r="P98" s="207"/>
      <c r="Q98" s="207" t="str">
        <f>LEFT(K98,1)</f>
        <v/>
      </c>
      <c r="R98" s="208" t="str">
        <f t="shared" si="44"/>
        <v/>
      </c>
      <c r="S98" s="206" t="str">
        <f>IF(ISERROR(VALUE(RIGHT(G98,1))),"",VALUE(RIGHT(G98,1)))</f>
        <v/>
      </c>
      <c r="T98" s="207" t="str">
        <f>IF(ISERROR(VALUE(RIGHT(H98,1))),"",VALUE(RIGHT(H98,1)))</f>
        <v/>
      </c>
      <c r="U98" s="207" t="str">
        <f>IF(ISERROR(VALUE(RIGHT(I98,1))),"",VALUE(RIGHT(I98,1)))</f>
        <v/>
      </c>
      <c r="V98" s="207"/>
      <c r="W98" s="207" t="str">
        <f>IF(ISERROR(VALUE(RIGHT(K98,1))),"",VALUE(RIGHT(K98,1)))</f>
        <v/>
      </c>
      <c r="X98" s="208" t="str">
        <f>IF(ISERROR(VALUE(RIGHT(L98,1))),"",VALUE(RIGHT(L98,1)))</f>
        <v/>
      </c>
      <c r="Y98" s="209" t="str">
        <f t="shared" si="40"/>
        <v/>
      </c>
      <c r="Z98" s="210" t="str">
        <f t="shared" si="36"/>
        <v/>
      </c>
      <c r="AA98" s="211" t="str">
        <f t="shared" si="37"/>
        <v/>
      </c>
      <c r="AB98" s="212" t="str">
        <f t="shared" si="38"/>
        <v/>
      </c>
      <c r="AC98" s="213" t="str">
        <f t="shared" si="39"/>
        <v/>
      </c>
      <c r="AD98" s="211" t="str">
        <f>IF(B98&gt;0,SUM(V95:V100),"")</f>
        <v/>
      </c>
      <c r="AE98" s="199" t="str">
        <f t="shared" si="41"/>
        <v/>
      </c>
      <c r="AF98" s="199" t="str">
        <f t="shared" si="48"/>
        <v/>
      </c>
      <c r="AG98" s="242"/>
      <c r="AH98" s="245" t="str">
        <f t="shared" si="42"/>
        <v/>
      </c>
      <c r="AM98" s="214">
        <f>IF(P95="V",IF(M98="D",0,1),IF(P95="D",IF(M98="V",0,1),1))</f>
        <v>1</v>
      </c>
      <c r="AN98" s="215">
        <f>IF(P96="V",IF(N98="D",0,1),IF(P96="D",IF(N98="V",0,1),1))</f>
        <v>1</v>
      </c>
      <c r="AO98" s="215">
        <f>IF(P97="V",IF(O98="D",0,1),IF(P97="D",IF(O98="V",0,1),1))</f>
        <v>1</v>
      </c>
      <c r="AP98" s="215"/>
      <c r="AQ98" s="215">
        <f>IF(Q98="V",IF(P99="D",0,1),IF(Q98="D",IF(P99="V",0,1),1))</f>
        <v>1</v>
      </c>
      <c r="AR98" s="216">
        <f>IF(R98="V",IF(P100="D",0,1),IF(R98="D",IF(P100="V",0,1),1))</f>
        <v>1</v>
      </c>
    </row>
    <row r="99" spans="1:44" ht="12" customHeight="1">
      <c r="A99" s="196" t="str">
        <f>IF(B99="","",16)</f>
        <v/>
      </c>
      <c r="B99" s="197"/>
      <c r="C99" s="198" t="str">
        <f>IF(F99="","",5)</f>
        <v/>
      </c>
      <c r="D99" s="199" t="str">
        <f t="shared" si="33"/>
        <v/>
      </c>
      <c r="E99" s="200" t="str">
        <f t="shared" si="34"/>
        <v/>
      </c>
      <c r="F99" s="201" t="str">
        <f t="shared" si="35"/>
        <v/>
      </c>
      <c r="G99" s="202"/>
      <c r="H99" s="204"/>
      <c r="I99" s="204"/>
      <c r="J99" s="204"/>
      <c r="K99" s="203"/>
      <c r="L99" s="205"/>
      <c r="M99" s="206" t="str">
        <f>LEFT(G99,1)</f>
        <v/>
      </c>
      <c r="N99" s="207" t="str">
        <f>LEFT(H99,1)</f>
        <v/>
      </c>
      <c r="O99" s="207" t="str">
        <f>LEFT(I99,1)</f>
        <v/>
      </c>
      <c r="P99" s="207" t="str">
        <f>LEFT(J99,1)</f>
        <v/>
      </c>
      <c r="Q99" s="207"/>
      <c r="R99" s="208" t="str">
        <f t="shared" si="44"/>
        <v/>
      </c>
      <c r="S99" s="206" t="str">
        <f>IF(ISERROR(VALUE(RIGHT(G99,1))),"",VALUE(RIGHT(G99,1)))</f>
        <v/>
      </c>
      <c r="T99" s="207" t="str">
        <f>IF(ISERROR(VALUE(RIGHT(H99,1))),"",VALUE(RIGHT(H99,1)))</f>
        <v/>
      </c>
      <c r="U99" s="207" t="str">
        <f>IF(ISERROR(VALUE(RIGHT(I99,1))),"",VALUE(RIGHT(I99,1)))</f>
        <v/>
      </c>
      <c r="V99" s="207" t="str">
        <f>IF(ISERROR(VALUE(RIGHT(J99,1))),"",VALUE(RIGHT(J99,1)))</f>
        <v/>
      </c>
      <c r="W99" s="207"/>
      <c r="X99" s="208" t="str">
        <f>IF(ISERROR(VALUE(RIGHT(L99,1))),"",VALUE(RIGHT(L99,1)))</f>
        <v/>
      </c>
      <c r="Y99" s="209" t="str">
        <f t="shared" si="40"/>
        <v/>
      </c>
      <c r="Z99" s="210" t="str">
        <f t="shared" si="36"/>
        <v/>
      </c>
      <c r="AA99" s="211" t="str">
        <f t="shared" si="37"/>
        <v/>
      </c>
      <c r="AB99" s="212" t="str">
        <f t="shared" si="38"/>
        <v/>
      </c>
      <c r="AC99" s="213" t="str">
        <f t="shared" si="39"/>
        <v/>
      </c>
      <c r="AD99" s="211" t="str">
        <f>IF(B99&gt;0,SUM(W95:W100),"")</f>
        <v/>
      </c>
      <c r="AE99" s="199" t="str">
        <f t="shared" si="41"/>
        <v/>
      </c>
      <c r="AF99" s="199" t="str">
        <f t="shared" si="48"/>
        <v/>
      </c>
      <c r="AG99" s="242"/>
      <c r="AH99" s="245" t="str">
        <f t="shared" si="42"/>
        <v/>
      </c>
      <c r="AM99" s="214">
        <f>IF(Q95="V",IF(M99="D",0,1),IF(Q95="D",IF(M99="V",0,1),1))</f>
        <v>1</v>
      </c>
      <c r="AN99" s="215">
        <f>IF(Q96="V",IF(N99="D",0,1),IF(Q96="D",IF(N99="V",0,1),1))</f>
        <v>1</v>
      </c>
      <c r="AO99" s="215">
        <f>IF(Q97="V",IF(O99="D",0,1),IF(Q97="D",IF(O99="V",0,1),1))</f>
        <v>1</v>
      </c>
      <c r="AP99" s="215">
        <f>IF(Q98="V",IF(P99="D",0,1),IF(Q98="D",IF(P99="V",0,1),1))</f>
        <v>1</v>
      </c>
      <c r="AQ99" s="215"/>
      <c r="AR99" s="216">
        <f>IF(R99="V",IF(Q100="D",0,1),IF(R99="D",IF(Q100="V",0,1),1))</f>
        <v>1</v>
      </c>
    </row>
    <row r="100" spans="1:44" ht="12" customHeight="1">
      <c r="A100" s="217" t="str">
        <f>IF(B100="","",16)</f>
        <v/>
      </c>
      <c r="B100" s="218"/>
      <c r="C100" s="219" t="str">
        <f>IF(F100="","",6)</f>
        <v/>
      </c>
      <c r="D100" s="220" t="str">
        <f t="shared" si="33"/>
        <v/>
      </c>
      <c r="E100" s="221" t="str">
        <f t="shared" si="34"/>
        <v/>
      </c>
      <c r="F100" s="222" t="str">
        <f t="shared" si="35"/>
        <v/>
      </c>
      <c r="G100" s="223"/>
      <c r="H100" s="224"/>
      <c r="I100" s="224"/>
      <c r="J100" s="224"/>
      <c r="K100" s="224"/>
      <c r="L100" s="225"/>
      <c r="M100" s="226" t="str">
        <f>LEFT(G100,1)</f>
        <v/>
      </c>
      <c r="N100" s="227" t="str">
        <f>LEFT(H100,1)</f>
        <v/>
      </c>
      <c r="O100" s="227" t="str">
        <f>LEFT(I100,1)</f>
        <v/>
      </c>
      <c r="P100" s="227" t="str">
        <f>LEFT(J100,1)</f>
        <v/>
      </c>
      <c r="Q100" s="227" t="str">
        <f>LEFT(K100,1)</f>
        <v/>
      </c>
      <c r="R100" s="228" t="str">
        <f t="shared" si="44"/>
        <v/>
      </c>
      <c r="S100" s="226" t="str">
        <f>IF(ISERROR(VALUE(RIGHT(G100,1))),"",VALUE(RIGHT(G100,1)))</f>
        <v/>
      </c>
      <c r="T100" s="227" t="str">
        <f>IF(ISERROR(VALUE(RIGHT(H100,1))),"",VALUE(RIGHT(H100,1)))</f>
        <v/>
      </c>
      <c r="U100" s="227" t="str">
        <f>IF(ISERROR(VALUE(RIGHT(I100,1))),"",VALUE(RIGHT(I100,1)))</f>
        <v/>
      </c>
      <c r="V100" s="227" t="str">
        <f>IF(ISERROR(VALUE(RIGHT(J100,1))),"",VALUE(RIGHT(J100,1)))</f>
        <v/>
      </c>
      <c r="W100" s="227" t="str">
        <f>IF(ISERROR(VALUE(RIGHT(K100,1))),"",VALUE(RIGHT(K100,1)))</f>
        <v/>
      </c>
      <c r="X100" s="228"/>
      <c r="Y100" s="229" t="str">
        <f t="shared" si="40"/>
        <v/>
      </c>
      <c r="Z100" s="230" t="str">
        <f t="shared" si="36"/>
        <v/>
      </c>
      <c r="AA100" s="231" t="str">
        <f t="shared" si="37"/>
        <v/>
      </c>
      <c r="AB100" s="232" t="str">
        <f t="shared" si="38"/>
        <v/>
      </c>
      <c r="AC100" s="233" t="str">
        <f t="shared" si="39"/>
        <v/>
      </c>
      <c r="AD100" s="231" t="str">
        <f>IF(B100&gt;0,SUM(X95:X100),"")</f>
        <v/>
      </c>
      <c r="AE100" s="234" t="str">
        <f t="shared" si="41"/>
        <v/>
      </c>
      <c r="AF100" s="234" t="str">
        <f>IF(ISERROR(D100),"",D100)</f>
        <v/>
      </c>
      <c r="AG100" s="243"/>
      <c r="AH100" s="246" t="str">
        <f t="shared" si="42"/>
        <v/>
      </c>
      <c r="AM100" s="235">
        <f>IF(R95="V",IF(M100="D",0,1),IF(R95="D",IF(M100="V",0,1),1))</f>
        <v>1</v>
      </c>
      <c r="AN100" s="236">
        <f>IF(R96="V",IF(N100="D",0,1),IF(R96="D",IF(N100="V",0,1),1))</f>
        <v>1</v>
      </c>
      <c r="AO100" s="236">
        <f>IF(R97="V",IF(O100="D",0,1),IF(R97="D",IF(O100="V",0,1),1))</f>
        <v>1</v>
      </c>
      <c r="AP100" s="236">
        <f>IF(R98="V",IF(P100="D",0,1),IF(R98="D",IF(P100="V",0,1),1))</f>
        <v>1</v>
      </c>
      <c r="AQ100" s="236">
        <f>IF(R99="V",IF(Q100="D",0,1),IF(R99="D",IF(Q100="V",0,1),1))</f>
        <v>1</v>
      </c>
      <c r="AR100" s="237"/>
    </row>
    <row r="101" spans="1:44" s="239" customFormat="1">
      <c r="A101" s="239">
        <v>16</v>
      </c>
      <c r="E101" s="238" t="s">
        <v>64</v>
      </c>
      <c r="F101" s="238" t="s">
        <v>55</v>
      </c>
      <c r="G101" s="239" t="s">
        <v>65</v>
      </c>
      <c r="H101" s="239" t="s">
        <v>65</v>
      </c>
      <c r="I101" s="239" t="s">
        <v>65</v>
      </c>
      <c r="J101" s="239" t="s">
        <v>65</v>
      </c>
      <c r="K101" s="239" t="s">
        <v>65</v>
      </c>
      <c r="L101" s="239" t="s">
        <v>65</v>
      </c>
      <c r="AI101" s="240"/>
    </row>
  </sheetData>
  <sheetProtection sheet="1" objects="1" scenarios="1" formatCells="0" selectLockedCells="1"/>
  <mergeCells count="4">
    <mergeCell ref="A1:AA1"/>
    <mergeCell ref="A2:AA2"/>
    <mergeCell ref="A3:AA3"/>
    <mergeCell ref="AB3:AE3"/>
  </mergeCells>
  <phoneticPr fontId="2"/>
  <conditionalFormatting sqref="M11:X15 M89:X93 M71:X75 M53:X57 M5:X9 M47:X51 M83:X87 M95:X99 M29:X33 M23:X27 M35:X39 M17:X21 M65:X69 M77:X81 M59:X63 M41:X45">
    <cfRule type="expression" dxfId="91" priority="4" stopIfTrue="1">
      <formula>AS5=1</formula>
    </cfRule>
  </conditionalFormatting>
  <conditionalFormatting sqref="G1:L1048576">
    <cfRule type="expression" dxfId="90" priority="5" stopIfTrue="1">
      <formula>AM1=1</formula>
    </cfRule>
  </conditionalFormatting>
  <conditionalFormatting sqref="AN5:AR5 AO6:AR6 AP7:AR7 AQ8:AR8 AR9 AQ10 AP9:AP10 AO8:AO10 AN7:AN10 AM6:AM10 AN89:AR89 AO90:AR90 AP91:AR91 AQ92:AR92 AR93 AQ94 AP93:AP94 AO92:AO94 AN91:AN94 AM90:AM94 AN47:AR47 AO48:AR48 AP49:AR49 AQ50:AR50 AR51 AQ52 AP51:AP52 AO50:AO52 AN49:AN52 AM48:AM52 AN11:AR11 AO12:AR12 AP13:AR13 AQ14:AR14 AR15 AQ16 AP15:AP16 AO14:AO16 AN13:AN16 AM12:AM16 AN17:AR17 AO18:AR18 AP19:AR19 AQ20:AR20 AR21 AQ22 AP21:AP22 AO20:AO22 AN19:AN22 AM18:AM22 AN23:AR23 AO24:AR24 AP25:AR25 AQ26:AR26 AR27 AQ28 AP27:AP28 AO26:AO28 AN25:AN28 AM24:AM28 AN29:AR29 AO30:AR30 AP31:AR31 AQ32:AR32 AR33 AQ34 AP33:AP34 AO32:AO34 AN31:AN34 AM30:AM34 AN35:AR35 AO36:AR36 AP37:AR37 AQ38:AR38 AR39 AQ40 AP39:AP40 AO38:AO40 AN37:AN40 AM36:AM40 AN41:AR41 AO42:AR42 AP43:AR43 AQ44:AR44 AR45 AQ46 AP45:AP46 AO44:AO46 AN43:AN46 AM42:AM46 AN53:AR53 AO54:AR54 AP55:AR55 AQ56:AR56 AR57 AQ58 AP57:AP58 AO56:AO58 AN55:AN58 AM54:AM58 AN59:AR59 AO60:AR60 AP61:AR61 AQ62:AR62 AR63 AQ64 AP63:AP64 AO62:AO64 AN61:AN64 AM60:AM64 AN65:AR65 AO66:AR66 AP67:AR67 AQ68:AR68 AR69 AQ70 AP69:AP70 AO68:AO70 AN67:AN70 AM66:AM70 AN71:AR71 AO72:AR72 AP73:AR73 AQ74:AR74 AR75 AQ76 AP75:AP76 AO74:AO76 AN73:AN76 AM72:AM76 AN77:AR77 AO78:AR78 AP79:AR79 AQ80:AR80 AR81 AQ82 AP81:AP82 AO80:AO82 AN79:AN82 AM78:AM82 AN83:AR83 AO84:AR84 AP85:AR85 AQ86:AR86 AR87 AQ88 AP87:AP88 AO86:AO88 AN85:AN88 AM84:AM88 AN95:AR95 AO96:AR96 AP97:AR97 AQ98:AR98 AR99 AQ100 AP99:AP100 AO98:AO100 AN97:AN100 AM96:AM100">
    <cfRule type="cellIs" dxfId="89" priority="6" stopIfTrue="1" operator="equal">
      <formula>1</formula>
    </cfRule>
  </conditionalFormatting>
  <conditionalFormatting sqref="B5:B100">
    <cfRule type="cellIs" dxfId="88" priority="3" operator="equal">
      <formula>""</formula>
    </cfRule>
  </conditionalFormatting>
  <conditionalFormatting sqref="E101">
    <cfRule type="cellIs" dxfId="87" priority="1" stopIfTrue="1" operator="equal">
      <formula>""</formula>
    </cfRule>
    <cfRule type="cellIs" dxfId="86" priority="2" stopIfTrue="1" operator="notEqual">
      <formula>""</formula>
    </cfRule>
  </conditionalFormatting>
  <dataValidations count="1">
    <dataValidation type="custom" imeMode="off" allowBlank="1" showInputMessage="1" showErrorMessage="1" errorTitle="入力エラー" error="「０」から「５」、または「Ｖ０」から「Ｖ５」です。" sqref="H5:L5 I6:L6 J7:L7 K8:L8 L9 H7:H10 H53:L53 I8:I10 J9:J10 K10 H65:L65 H89:L89 I90:L90 I54:L54 J55:L55 I66:L66 K56:L56 J91:L91 H17:L17 L57 H55:H58 I18:L18 J19:L19 J67:L67 K92:L92 H41:L41 I42:L42 H23:L23 J43:L43 H83:L83 H77:L77 K68:L68 I78:L78 J79:L79 I56:I58 K80:L80 L81 J57:J58 H47:L47 I48:L48 I84:L84 H71:L71 I72:L72 J73:L73 K74:L74 L75 H73:H76 I74:I76 J75:J76 I24:L24 K76 G6:G10 H79:H82 J49:L49 J85:L85 K86:L86 K50:L50 L87 L51 H49:H52 I50:I52 J25:L25 H85:H88 J51:J52 K44:L44 L45 H43:H46 L69 K52 K20:L20 H35:L35 I86:I88 J87:J88 L93 H91:H94 I92:I94 H67:H70 J93:J94 I68:I70 K58 H11:L11 H29:L29 L21 K88 I12:L12 I30:L30 H19:H22 I36:L36 K94 J31:L31 H95:L95 K32:L32 J13:L13 I20:I22 L33 I80:I82 K14:L14 J21:J22 H31:H34 G84:G88 I32:I34 I96:L96 L15 J33:J34 J37:L37 H13:H16 I14:I16 K26:L26 J97:L97 G72:G76 J15:J16 I44:I46 K16 K22 K34 G90:G94 K98:L98 L27 K38:L38 J45:J46 L99 K46 H25:H28 I26:I28 H97:H100 L39 J27:J28 I98:I100 J99:J100 H37:H40 I38:I40 J69:J70 J39:J40 K40 G42:G46 K70 K100 G18:G22 G30:G34 K28 G96:G100 G24:G28 G36:G40 G12:G16 G54:G58 G48:G52 G66:G70 J81:J82 K82 G78:G82 H59:L59 I60:L60 J61:L61 K62:L62 L63 H61:H64 I62:I64 J63:J64 K64 G60:G64">
      <formula1>OR(AND(G5&gt;=0,G5&lt;=5),G5="V0",G5="V1",G5="V2",G5="V3",G5="V4",G5="V5")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6" fitToHeight="2" orientation="portrait" horizontalDpi="360" verticalDpi="360" r:id="rId1"/>
  <headerFooter alignWithMargins="0">
    <oddHeader>&amp;R&amp;"ＭＳ ゴシック,標準"&amp;11&amp;P / &amp;Nページ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zoomScaleNormal="100" zoomScaleSheetLayoutView="100" workbookViewId="0">
      <selection activeCell="C21" sqref="C21"/>
    </sheetView>
  </sheetViews>
  <sheetFormatPr defaultColWidth="3.85546875" defaultRowHeight="13.5"/>
  <cols>
    <col min="1" max="2" width="4" style="262" bestFit="1" customWidth="1"/>
    <col min="3" max="3" width="22.140625" style="247" bestFit="1" customWidth="1"/>
    <col min="4" max="4" width="17.42578125" style="247" bestFit="1" customWidth="1"/>
    <col min="5" max="5" width="3.85546875" style="247"/>
    <col min="6" max="7" width="4" style="262" bestFit="1" customWidth="1"/>
    <col min="8" max="8" width="22.140625" style="247" bestFit="1" customWidth="1"/>
    <col min="9" max="9" width="17.42578125" style="247" bestFit="1" customWidth="1"/>
    <col min="10" max="16384" width="3.85546875" style="247"/>
  </cols>
  <sheetData>
    <row r="1" spans="1:9">
      <c r="A1" s="313" t="str">
        <f>"　"&amp;名簿!A2</f>
        <v>　中学男子</v>
      </c>
      <c r="B1" s="313"/>
      <c r="C1" s="313"/>
      <c r="D1" s="313"/>
    </row>
    <row r="2" spans="1:9" s="250" customFormat="1">
      <c r="A2" s="55" t="s">
        <v>57</v>
      </c>
      <c r="B2" s="54" t="s">
        <v>0</v>
      </c>
      <c r="C2" s="249" t="s">
        <v>16</v>
      </c>
      <c r="D2" s="248" t="s">
        <v>8</v>
      </c>
      <c r="F2" s="55" t="s">
        <v>57</v>
      </c>
      <c r="G2" s="54" t="s">
        <v>0</v>
      </c>
      <c r="H2" s="249" t="s">
        <v>16</v>
      </c>
      <c r="I2" s="248" t="s">
        <v>8</v>
      </c>
    </row>
    <row r="3" spans="1:9">
      <c r="A3" s="255">
        <f>'予選 Ｐ'!A5</f>
        <v>1</v>
      </c>
      <c r="B3" s="256">
        <f>'予選 Ｐ'!C5</f>
        <v>1</v>
      </c>
      <c r="C3" s="251" t="str">
        <f>'予選 Ｐ'!E5</f>
        <v>愛工大付属</v>
      </c>
      <c r="D3" s="251" t="str">
        <f>'予選 Ｐ'!F5</f>
        <v>太田　拓輝</v>
      </c>
      <c r="F3" s="255">
        <f>'予選 Ｐ'!A53</f>
        <v>9</v>
      </c>
      <c r="G3" s="256">
        <f>'予選 Ｐ'!C53</f>
        <v>1</v>
      </c>
      <c r="H3" s="251" t="str">
        <f>'予選 Ｐ'!E53</f>
        <v>法政大第二中学</v>
      </c>
      <c r="I3" s="251" t="str">
        <f>'予選 Ｐ'!F53</f>
        <v>安井　琥珀</v>
      </c>
    </row>
    <row r="4" spans="1:9">
      <c r="A4" s="257">
        <f>'予選 Ｐ'!A6</f>
        <v>1</v>
      </c>
      <c r="B4" s="258">
        <f>'予選 Ｐ'!C6</f>
        <v>2</v>
      </c>
      <c r="C4" s="252" t="str">
        <f>'予選 Ｐ'!E6</f>
        <v>速星中学校</v>
      </c>
      <c r="D4" s="252" t="str">
        <f>'予選 Ｐ'!F6</f>
        <v>長畑　知大</v>
      </c>
      <c r="F4" s="257">
        <f>'予選 Ｐ'!A54</f>
        <v>9</v>
      </c>
      <c r="G4" s="258">
        <f>'予選 Ｐ'!C54</f>
        <v>2</v>
      </c>
      <c r="H4" s="252" t="str">
        <f>'予選 Ｐ'!E54</f>
        <v>はしまモア</v>
      </c>
      <c r="I4" s="252" t="str">
        <f>'予選 Ｐ'!F54</f>
        <v>奥田　玲大</v>
      </c>
    </row>
    <row r="5" spans="1:9">
      <c r="A5" s="257">
        <f>'予選 Ｐ'!A7</f>
        <v>1</v>
      </c>
      <c r="B5" s="258">
        <f>'予選 Ｐ'!C7</f>
        <v>3</v>
      </c>
      <c r="C5" s="252" t="str">
        <f>'予選 Ｐ'!E7</f>
        <v>武生二中</v>
      </c>
      <c r="D5" s="252" t="str">
        <f>'予選 Ｐ'!F7</f>
        <v>山本　雄飛</v>
      </c>
      <c r="F5" s="257">
        <f>'予選 Ｐ'!A55</f>
        <v>9</v>
      </c>
      <c r="G5" s="258">
        <f>'予選 Ｐ'!C55</f>
        <v>3</v>
      </c>
      <c r="H5" s="252" t="str">
        <f>'予選 Ｐ'!E55</f>
        <v>速星中学校</v>
      </c>
      <c r="I5" s="252" t="str">
        <f>'予選 Ｐ'!F55</f>
        <v>山崎　竜聖</v>
      </c>
    </row>
    <row r="6" spans="1:9">
      <c r="A6" s="257">
        <f>'予選 Ｐ'!A8</f>
        <v>1</v>
      </c>
      <c r="B6" s="258">
        <f>'予選 Ｐ'!C8</f>
        <v>4</v>
      </c>
      <c r="C6" s="252" t="str">
        <f>'予選 Ｐ'!E8</f>
        <v>ワセダクラブ</v>
      </c>
      <c r="D6" s="252" t="str">
        <f>'予選 Ｐ'!F8</f>
        <v>林　祥太郎</v>
      </c>
      <c r="F6" s="257">
        <f>'予選 Ｐ'!A56</f>
        <v>9</v>
      </c>
      <c r="G6" s="258">
        <f>'予選 Ｐ'!C56</f>
        <v>4</v>
      </c>
      <c r="H6" s="252" t="str">
        <f>'予選 Ｐ'!E56</f>
        <v>滋賀ＪＦＣ</v>
      </c>
      <c r="I6" s="252" t="str">
        <f>'予選 Ｐ'!F56</f>
        <v>白川　柊毅</v>
      </c>
    </row>
    <row r="7" spans="1:9">
      <c r="A7" s="257">
        <f>'予選 Ｐ'!A9</f>
        <v>1</v>
      </c>
      <c r="B7" s="258">
        <f>'予選 Ｐ'!C9</f>
        <v>5</v>
      </c>
      <c r="C7" s="252" t="str">
        <f>'予選 Ｐ'!E9</f>
        <v>河南町フェンシング</v>
      </c>
      <c r="D7" s="252" t="str">
        <f>'予選 Ｐ'!F9</f>
        <v>菊元　雪</v>
      </c>
      <c r="F7" s="257">
        <f>'予選 Ｐ'!A57</f>
        <v>9</v>
      </c>
      <c r="G7" s="258">
        <f>'予選 Ｐ'!C57</f>
        <v>5</v>
      </c>
      <c r="H7" s="252" t="str">
        <f>'予選 Ｐ'!E57</f>
        <v>養老ＦＣ</v>
      </c>
      <c r="I7" s="252" t="str">
        <f>'予選 Ｐ'!F57</f>
        <v>北川　虎侑</v>
      </c>
    </row>
    <row r="8" spans="1:9">
      <c r="A8" s="259">
        <f>'予選 Ｐ'!A10</f>
        <v>1</v>
      </c>
      <c r="B8" s="260">
        <f>'予選 Ｐ'!C10</f>
        <v>6</v>
      </c>
      <c r="C8" s="253" t="str">
        <f>'予選 Ｐ'!E10</f>
        <v>はしまモア</v>
      </c>
      <c r="D8" s="253" t="str">
        <f>'予選 Ｐ'!F10</f>
        <v>光田　陽翔</v>
      </c>
      <c r="F8" s="259" t="str">
        <f>'予選 Ｐ'!A58</f>
        <v/>
      </c>
      <c r="G8" s="260" t="str">
        <f>'予選 Ｐ'!C58</f>
        <v/>
      </c>
      <c r="H8" s="253" t="str">
        <f>'予選 Ｐ'!E58</f>
        <v/>
      </c>
      <c r="I8" s="253" t="str">
        <f>'予選 Ｐ'!F58</f>
        <v/>
      </c>
    </row>
    <row r="9" spans="1:9">
      <c r="A9" s="255">
        <f>'予選 Ｐ'!A11</f>
        <v>2</v>
      </c>
      <c r="B9" s="256">
        <f>'予選 Ｐ'!C11</f>
        <v>1</v>
      </c>
      <c r="C9" s="251" t="str">
        <f>'予選 Ｐ'!E11</f>
        <v>はしまモア</v>
      </c>
      <c r="D9" s="251" t="str">
        <f>'予選 Ｐ'!F11</f>
        <v>田内　稜大</v>
      </c>
      <c r="F9" s="255">
        <f>'予選 Ｐ'!A59</f>
        <v>10</v>
      </c>
      <c r="G9" s="256" t="str">
        <f>'予選 Ｐ'!C59</f>
        <v/>
      </c>
      <c r="H9" s="251" t="str">
        <f>'予選 Ｐ'!E59</f>
        <v/>
      </c>
      <c r="I9" s="251" t="str">
        <f>'予選 Ｐ'!F59</f>
        <v/>
      </c>
    </row>
    <row r="10" spans="1:9">
      <c r="A10" s="257">
        <f>'予選 Ｐ'!A12</f>
        <v>2</v>
      </c>
      <c r="B10" s="258">
        <f>'予選 Ｐ'!C12</f>
        <v>2</v>
      </c>
      <c r="C10" s="252" t="str">
        <f>'予選 Ｐ'!E12</f>
        <v>速星中学校</v>
      </c>
      <c r="D10" s="252" t="str">
        <f>'予選 Ｐ'!F12</f>
        <v>廣野　惇奈</v>
      </c>
      <c r="F10" s="257" t="str">
        <f>'予選 Ｐ'!A60</f>
        <v/>
      </c>
      <c r="G10" s="258" t="str">
        <f>'予選 Ｐ'!C60</f>
        <v/>
      </c>
      <c r="H10" s="252" t="str">
        <f>'予選 Ｐ'!E60</f>
        <v/>
      </c>
      <c r="I10" s="252" t="str">
        <f>'予選 Ｐ'!F60</f>
        <v/>
      </c>
    </row>
    <row r="11" spans="1:9">
      <c r="A11" s="257">
        <f>'予選 Ｐ'!A13</f>
        <v>2</v>
      </c>
      <c r="B11" s="258">
        <f>'予選 Ｐ'!C13</f>
        <v>3</v>
      </c>
      <c r="C11" s="252" t="str">
        <f>'予選 Ｐ'!E13</f>
        <v>愛工大付属</v>
      </c>
      <c r="D11" s="252" t="str">
        <f>'予選 Ｐ'!F13</f>
        <v>山口　倫生</v>
      </c>
      <c r="F11" s="257" t="str">
        <f>'予選 Ｐ'!A61</f>
        <v/>
      </c>
      <c r="G11" s="258" t="str">
        <f>'予選 Ｐ'!C61</f>
        <v/>
      </c>
      <c r="H11" s="252" t="str">
        <f>'予選 Ｐ'!E61</f>
        <v/>
      </c>
      <c r="I11" s="252" t="str">
        <f>'予選 Ｐ'!F61</f>
        <v/>
      </c>
    </row>
    <row r="12" spans="1:9">
      <c r="A12" s="257">
        <f>'予選 Ｐ'!A14</f>
        <v>2</v>
      </c>
      <c r="B12" s="258">
        <f>'予選 Ｐ'!C14</f>
        <v>4</v>
      </c>
      <c r="C12" s="252" t="str">
        <f>'予選 Ｐ'!E14</f>
        <v>南箕輪わくわく</v>
      </c>
      <c r="D12" s="252" t="str">
        <f>'予選 Ｐ'!F14</f>
        <v>保科　幸作</v>
      </c>
      <c r="F12" s="257" t="str">
        <f>'予選 Ｐ'!A62</f>
        <v/>
      </c>
      <c r="G12" s="258" t="str">
        <f>'予選 Ｐ'!C62</f>
        <v/>
      </c>
      <c r="H12" s="252" t="str">
        <f>'予選 Ｐ'!E62</f>
        <v/>
      </c>
      <c r="I12" s="252" t="str">
        <f>'予選 Ｐ'!F62</f>
        <v/>
      </c>
    </row>
    <row r="13" spans="1:9">
      <c r="A13" s="257">
        <f>'予選 Ｐ'!A15</f>
        <v>2</v>
      </c>
      <c r="B13" s="258">
        <f>'予選 Ｐ'!C15</f>
        <v>5</v>
      </c>
      <c r="C13" s="252" t="str">
        <f>'予選 Ｐ'!E15</f>
        <v>富山パレス</v>
      </c>
      <c r="D13" s="252" t="str">
        <f>'予選 Ｐ'!F15</f>
        <v>藤野　正真</v>
      </c>
      <c r="F13" s="257" t="str">
        <f>'予選 Ｐ'!A63</f>
        <v/>
      </c>
      <c r="G13" s="258" t="str">
        <f>'予選 Ｐ'!C63</f>
        <v/>
      </c>
      <c r="H13" s="252" t="str">
        <f>'予選 Ｐ'!E63</f>
        <v/>
      </c>
      <c r="I13" s="252" t="str">
        <f>'予選 Ｐ'!F63</f>
        <v/>
      </c>
    </row>
    <row r="14" spans="1:9">
      <c r="A14" s="259">
        <f>'予選 Ｐ'!A16</f>
        <v>2</v>
      </c>
      <c r="B14" s="260">
        <f>'予選 Ｐ'!C16</f>
        <v>6</v>
      </c>
      <c r="C14" s="253" t="str">
        <f>'予選 Ｐ'!E16</f>
        <v>横浜フェンサーズ</v>
      </c>
      <c r="D14" s="253" t="str">
        <f>'予選 Ｐ'!F16</f>
        <v>柳原　健二郎</v>
      </c>
      <c r="F14" s="259" t="str">
        <f>'予選 Ｐ'!A64</f>
        <v/>
      </c>
      <c r="G14" s="260" t="str">
        <f>'予選 Ｐ'!C64</f>
        <v/>
      </c>
      <c r="H14" s="253" t="str">
        <f>'予選 Ｐ'!E64</f>
        <v/>
      </c>
      <c r="I14" s="253" t="str">
        <f>'予選 Ｐ'!F64</f>
        <v/>
      </c>
    </row>
    <row r="15" spans="1:9">
      <c r="A15" s="255">
        <f>'予選 Ｐ'!A17</f>
        <v>3</v>
      </c>
      <c r="B15" s="256">
        <f>'予選 Ｐ'!C17</f>
        <v>1</v>
      </c>
      <c r="C15" s="251" t="str">
        <f>'予選 Ｐ'!E17</f>
        <v>はしまモア</v>
      </c>
      <c r="D15" s="251" t="str">
        <f>'予選 Ｐ'!F17</f>
        <v>河村　一摩</v>
      </c>
      <c r="F15" s="255">
        <f>'予選 Ｐ'!A65</f>
        <v>11</v>
      </c>
      <c r="G15" s="256" t="str">
        <f>'予選 Ｐ'!C65</f>
        <v/>
      </c>
      <c r="H15" s="251" t="str">
        <f>'予選 Ｐ'!E65</f>
        <v/>
      </c>
      <c r="I15" s="251" t="str">
        <f>'予選 Ｐ'!F65</f>
        <v/>
      </c>
    </row>
    <row r="16" spans="1:9">
      <c r="A16" s="257">
        <f>'予選 Ｐ'!A18</f>
        <v>3</v>
      </c>
      <c r="B16" s="258">
        <f>'予選 Ｐ'!C18</f>
        <v>2</v>
      </c>
      <c r="C16" s="252" t="str">
        <f>'予選 Ｐ'!E18</f>
        <v>速星中学校</v>
      </c>
      <c r="D16" s="252" t="str">
        <f>'予選 Ｐ'!F18</f>
        <v>細川　唯人</v>
      </c>
      <c r="F16" s="257" t="str">
        <f>'予選 Ｐ'!A66</f>
        <v/>
      </c>
      <c r="G16" s="258" t="str">
        <f>'予選 Ｐ'!C66</f>
        <v/>
      </c>
      <c r="H16" s="252" t="str">
        <f>'予選 Ｐ'!E66</f>
        <v/>
      </c>
      <c r="I16" s="252" t="str">
        <f>'予選 Ｐ'!F66</f>
        <v/>
      </c>
    </row>
    <row r="17" spans="1:9">
      <c r="A17" s="257">
        <f>'予選 Ｐ'!A19</f>
        <v>3</v>
      </c>
      <c r="B17" s="258">
        <f>'予選 Ｐ'!C19</f>
        <v>3</v>
      </c>
      <c r="C17" s="252" t="str">
        <f>'予選 Ｐ'!E19</f>
        <v>愛工大付属</v>
      </c>
      <c r="D17" s="252" t="str">
        <f>'予選 Ｐ'!F19</f>
        <v>伊藤　真吾</v>
      </c>
      <c r="F17" s="257" t="str">
        <f>'予選 Ｐ'!A67</f>
        <v/>
      </c>
      <c r="G17" s="258" t="str">
        <f>'予選 Ｐ'!C67</f>
        <v/>
      </c>
      <c r="H17" s="252" t="str">
        <f>'予選 Ｐ'!E67</f>
        <v/>
      </c>
      <c r="I17" s="252" t="str">
        <f>'予選 Ｐ'!F67</f>
        <v/>
      </c>
    </row>
    <row r="18" spans="1:9">
      <c r="A18" s="257">
        <f>'予選 Ｐ'!A20</f>
        <v>3</v>
      </c>
      <c r="B18" s="258">
        <f>'予選 Ｐ'!C20</f>
        <v>4</v>
      </c>
      <c r="C18" s="252" t="str">
        <f>'予選 Ｐ'!E20</f>
        <v>富山パレス</v>
      </c>
      <c r="D18" s="252" t="str">
        <f>'予選 Ｐ'!F20</f>
        <v>高畠　龍斗</v>
      </c>
      <c r="F18" s="257" t="str">
        <f>'予選 Ｐ'!A68</f>
        <v/>
      </c>
      <c r="G18" s="258" t="str">
        <f>'予選 Ｐ'!C68</f>
        <v/>
      </c>
      <c r="H18" s="252" t="str">
        <f>'予選 Ｐ'!E68</f>
        <v/>
      </c>
      <c r="I18" s="252" t="str">
        <f>'予選 Ｐ'!F68</f>
        <v/>
      </c>
    </row>
    <row r="19" spans="1:9">
      <c r="A19" s="257">
        <f>'予選 Ｐ'!A21</f>
        <v>3</v>
      </c>
      <c r="B19" s="258">
        <f>'予選 Ｐ'!C21</f>
        <v>5</v>
      </c>
      <c r="C19" s="252" t="str">
        <f>'予選 Ｐ'!E21</f>
        <v>はしまモア</v>
      </c>
      <c r="D19" s="252" t="str">
        <f>'予選 Ｐ'!F21</f>
        <v>大橋　拓叶</v>
      </c>
      <c r="F19" s="257" t="str">
        <f>'予選 Ｐ'!A69</f>
        <v/>
      </c>
      <c r="G19" s="258" t="str">
        <f>'予選 Ｐ'!C69</f>
        <v/>
      </c>
      <c r="H19" s="252" t="str">
        <f>'予選 Ｐ'!E69</f>
        <v/>
      </c>
      <c r="I19" s="252" t="str">
        <f>'予選 Ｐ'!F69</f>
        <v/>
      </c>
    </row>
    <row r="20" spans="1:9">
      <c r="A20" s="259" t="str">
        <f>'予選 Ｐ'!A22</f>
        <v/>
      </c>
      <c r="B20" s="260" t="str">
        <f>'予選 Ｐ'!C22</f>
        <v/>
      </c>
      <c r="C20" s="253" t="str">
        <f>'予選 Ｐ'!E22</f>
        <v/>
      </c>
      <c r="D20" s="253" t="str">
        <f>'予選 Ｐ'!F22</f>
        <v/>
      </c>
      <c r="F20" s="259" t="str">
        <f>'予選 Ｐ'!A70</f>
        <v/>
      </c>
      <c r="G20" s="260" t="str">
        <f>'予選 Ｐ'!C70</f>
        <v/>
      </c>
      <c r="H20" s="253" t="str">
        <f>'予選 Ｐ'!E70</f>
        <v/>
      </c>
      <c r="I20" s="253" t="str">
        <f>'予選 Ｐ'!F70</f>
        <v/>
      </c>
    </row>
    <row r="21" spans="1:9">
      <c r="A21" s="255">
        <f>'予選 Ｐ'!A23</f>
        <v>4</v>
      </c>
      <c r="B21" s="256">
        <f>'予選 Ｐ'!C23</f>
        <v>1</v>
      </c>
      <c r="C21" s="251" t="str">
        <f>'予選 Ｐ'!E23</f>
        <v>はしまモア</v>
      </c>
      <c r="D21" s="251" t="str">
        <f>'予選 Ｐ'!F23</f>
        <v>福田　亮介</v>
      </c>
      <c r="F21" s="255">
        <f>'予選 Ｐ'!A71</f>
        <v>12</v>
      </c>
      <c r="G21" s="256" t="str">
        <f>'予選 Ｐ'!C71</f>
        <v/>
      </c>
      <c r="H21" s="251" t="str">
        <f>'予選 Ｐ'!E71</f>
        <v/>
      </c>
      <c r="I21" s="251" t="str">
        <f>'予選 Ｐ'!F71</f>
        <v/>
      </c>
    </row>
    <row r="22" spans="1:9">
      <c r="A22" s="257">
        <f>'予選 Ｐ'!A24</f>
        <v>4</v>
      </c>
      <c r="B22" s="258">
        <f>'予選 Ｐ'!C24</f>
        <v>2</v>
      </c>
      <c r="C22" s="252" t="str">
        <f>'予選 Ｐ'!E24</f>
        <v>速星中学校</v>
      </c>
      <c r="D22" s="252" t="str">
        <f>'予選 Ｐ'!F24</f>
        <v>小林　颯一</v>
      </c>
      <c r="F22" s="257" t="str">
        <f>'予選 Ｐ'!A72</f>
        <v/>
      </c>
      <c r="G22" s="258" t="str">
        <f>'予選 Ｐ'!C72</f>
        <v/>
      </c>
      <c r="H22" s="252" t="str">
        <f>'予選 Ｐ'!E72</f>
        <v/>
      </c>
      <c r="I22" s="252" t="str">
        <f>'予選 Ｐ'!F72</f>
        <v/>
      </c>
    </row>
    <row r="23" spans="1:9">
      <c r="A23" s="257">
        <f>'予選 Ｐ'!A25</f>
        <v>4</v>
      </c>
      <c r="B23" s="258">
        <f>'予選 Ｐ'!C25</f>
        <v>3</v>
      </c>
      <c r="C23" s="252" t="str">
        <f>'予選 Ｐ'!E25</f>
        <v>滋賀ＪＦＣ</v>
      </c>
      <c r="D23" s="252" t="str">
        <f>'予選 Ｐ'!F25</f>
        <v>保知　純乃介</v>
      </c>
      <c r="F23" s="257" t="str">
        <f>'予選 Ｐ'!A73</f>
        <v/>
      </c>
      <c r="G23" s="258" t="str">
        <f>'予選 Ｐ'!C73</f>
        <v/>
      </c>
      <c r="H23" s="252" t="str">
        <f>'予選 Ｐ'!E73</f>
        <v/>
      </c>
      <c r="I23" s="252" t="str">
        <f>'予選 Ｐ'!F73</f>
        <v/>
      </c>
    </row>
    <row r="24" spans="1:9">
      <c r="A24" s="257">
        <f>'予選 Ｐ'!A26</f>
        <v>4</v>
      </c>
      <c r="B24" s="258">
        <f>'予選 Ｐ'!C26</f>
        <v>4</v>
      </c>
      <c r="C24" s="252" t="str">
        <f>'予選 Ｐ'!E26</f>
        <v>愛工大付属</v>
      </c>
      <c r="D24" s="252" t="str">
        <f>'予選 Ｐ'!F26</f>
        <v>永津　稜麻</v>
      </c>
      <c r="F24" s="257" t="str">
        <f>'予選 Ｐ'!A74</f>
        <v/>
      </c>
      <c r="G24" s="258" t="str">
        <f>'予選 Ｐ'!C74</f>
        <v/>
      </c>
      <c r="H24" s="252" t="str">
        <f>'予選 Ｐ'!E74</f>
        <v/>
      </c>
      <c r="I24" s="252" t="str">
        <f>'予選 Ｐ'!F74</f>
        <v/>
      </c>
    </row>
    <row r="25" spans="1:9">
      <c r="A25" s="257">
        <f>'予選 Ｐ'!A27</f>
        <v>4</v>
      </c>
      <c r="B25" s="258">
        <f>'予選 Ｐ'!C27</f>
        <v>5</v>
      </c>
      <c r="C25" s="252" t="str">
        <f>'予選 Ｐ'!E27</f>
        <v>富山パレス</v>
      </c>
      <c r="D25" s="252" t="str">
        <f>'予選 Ｐ'!F27</f>
        <v>土田　龍也</v>
      </c>
      <c r="F25" s="257" t="str">
        <f>'予選 Ｐ'!A75</f>
        <v/>
      </c>
      <c r="G25" s="258" t="str">
        <f>'予選 Ｐ'!C75</f>
        <v/>
      </c>
      <c r="H25" s="252" t="str">
        <f>'予選 Ｐ'!E75</f>
        <v/>
      </c>
      <c r="I25" s="252" t="str">
        <f>'予選 Ｐ'!F75</f>
        <v/>
      </c>
    </row>
    <row r="26" spans="1:9">
      <c r="A26" s="259">
        <f>'予選 Ｐ'!A28</f>
        <v>4</v>
      </c>
      <c r="B26" s="260">
        <f>'予選 Ｐ'!C28</f>
        <v>6</v>
      </c>
      <c r="C26" s="253" t="str">
        <f>'予選 Ｐ'!E28</f>
        <v>杉並ジュニア</v>
      </c>
      <c r="D26" s="253" t="str">
        <f>'予選 Ｐ'!F28</f>
        <v>山﨑　貴史</v>
      </c>
      <c r="F26" s="259" t="str">
        <f>'予選 Ｐ'!A76</f>
        <v/>
      </c>
      <c r="G26" s="260" t="str">
        <f>'予選 Ｐ'!C76</f>
        <v/>
      </c>
      <c r="H26" s="253" t="str">
        <f>'予選 Ｐ'!E76</f>
        <v/>
      </c>
      <c r="I26" s="253" t="str">
        <f>'予選 Ｐ'!F76</f>
        <v/>
      </c>
    </row>
    <row r="27" spans="1:9">
      <c r="A27" s="255">
        <f>'予選 Ｐ'!A29</f>
        <v>5</v>
      </c>
      <c r="B27" s="256">
        <f>'予選 Ｐ'!C29</f>
        <v>1</v>
      </c>
      <c r="C27" s="251" t="str">
        <f>'予選 Ｐ'!E29</f>
        <v>箕輪中学校</v>
      </c>
      <c r="D27" s="251" t="str">
        <f>'予選 Ｐ'!F29</f>
        <v>中村　健人</v>
      </c>
      <c r="F27" s="255">
        <f>'予選 Ｐ'!A77</f>
        <v>13</v>
      </c>
      <c r="G27" s="256" t="str">
        <f>'予選 Ｐ'!C77</f>
        <v/>
      </c>
      <c r="H27" s="251" t="str">
        <f>'予選 Ｐ'!E77</f>
        <v/>
      </c>
      <c r="I27" s="251" t="str">
        <f>'予選 Ｐ'!F77</f>
        <v/>
      </c>
    </row>
    <row r="28" spans="1:9">
      <c r="A28" s="257">
        <f>'予選 Ｐ'!A30</f>
        <v>5</v>
      </c>
      <c r="B28" s="258">
        <f>'予選 Ｐ'!C30</f>
        <v>2</v>
      </c>
      <c r="C28" s="252" t="str">
        <f>'予選 Ｐ'!E30</f>
        <v>速星中学校</v>
      </c>
      <c r="D28" s="252" t="str">
        <f>'予選 Ｐ'!F30</f>
        <v>濱崎　隼十</v>
      </c>
      <c r="F28" s="257" t="str">
        <f>'予選 Ｐ'!A78</f>
        <v/>
      </c>
      <c r="G28" s="258" t="str">
        <f>'予選 Ｐ'!C78</f>
        <v/>
      </c>
      <c r="H28" s="252" t="str">
        <f>'予選 Ｐ'!E78</f>
        <v/>
      </c>
      <c r="I28" s="252" t="str">
        <f>'予選 Ｐ'!F78</f>
        <v/>
      </c>
    </row>
    <row r="29" spans="1:9">
      <c r="A29" s="257">
        <f>'予選 Ｐ'!A31</f>
        <v>5</v>
      </c>
      <c r="B29" s="258">
        <f>'予選 Ｐ'!C31</f>
        <v>3</v>
      </c>
      <c r="C29" s="252" t="str">
        <f>'予選 Ｐ'!E31</f>
        <v>アレ　フェンシング</v>
      </c>
      <c r="D29" s="252" t="str">
        <f>'予選 Ｐ'!F31</f>
        <v>古市　直大</v>
      </c>
      <c r="F29" s="257" t="str">
        <f>'予選 Ｐ'!A79</f>
        <v/>
      </c>
      <c r="G29" s="258" t="str">
        <f>'予選 Ｐ'!C79</f>
        <v/>
      </c>
      <c r="H29" s="252" t="str">
        <f>'予選 Ｐ'!E79</f>
        <v/>
      </c>
      <c r="I29" s="252" t="str">
        <f>'予選 Ｐ'!F79</f>
        <v/>
      </c>
    </row>
    <row r="30" spans="1:9">
      <c r="A30" s="257">
        <f>'予選 Ｐ'!A32</f>
        <v>5</v>
      </c>
      <c r="B30" s="258">
        <f>'予選 Ｐ'!C32</f>
        <v>4</v>
      </c>
      <c r="C30" s="252" t="str">
        <f>'予選 Ｐ'!E32</f>
        <v>愛工大付属</v>
      </c>
      <c r="D30" s="252" t="str">
        <f>'予選 Ｐ'!F32</f>
        <v>堀　智貴</v>
      </c>
      <c r="F30" s="257" t="str">
        <f>'予選 Ｐ'!A80</f>
        <v/>
      </c>
      <c r="G30" s="258" t="str">
        <f>'予選 Ｐ'!C80</f>
        <v/>
      </c>
      <c r="H30" s="252" t="str">
        <f>'予選 Ｐ'!E80</f>
        <v/>
      </c>
      <c r="I30" s="252" t="str">
        <f>'予選 Ｐ'!F80</f>
        <v/>
      </c>
    </row>
    <row r="31" spans="1:9">
      <c r="A31" s="257">
        <f>'予選 Ｐ'!A33</f>
        <v>5</v>
      </c>
      <c r="B31" s="258">
        <f>'予選 Ｐ'!C33</f>
        <v>5</v>
      </c>
      <c r="C31" s="252" t="str">
        <f>'予選 Ｐ'!E33</f>
        <v>富山パレス</v>
      </c>
      <c r="D31" s="252" t="str">
        <f>'予選 Ｐ'!F33</f>
        <v>篠田　真吾</v>
      </c>
      <c r="F31" s="257" t="str">
        <f>'予選 Ｐ'!A81</f>
        <v/>
      </c>
      <c r="G31" s="258" t="str">
        <f>'予選 Ｐ'!C81</f>
        <v/>
      </c>
      <c r="H31" s="252" t="str">
        <f>'予選 Ｐ'!E81</f>
        <v/>
      </c>
      <c r="I31" s="252" t="str">
        <f>'予選 Ｐ'!F81</f>
        <v/>
      </c>
    </row>
    <row r="32" spans="1:9">
      <c r="A32" s="259">
        <f>'予選 Ｐ'!A34</f>
        <v>5</v>
      </c>
      <c r="B32" s="260">
        <f>'予選 Ｐ'!C34</f>
        <v>6</v>
      </c>
      <c r="C32" s="253" t="str">
        <f>'予選 Ｐ'!E34</f>
        <v>大垣クラブ</v>
      </c>
      <c r="D32" s="253" t="str">
        <f>'予選 Ｐ'!F34</f>
        <v>國枝　契太</v>
      </c>
      <c r="F32" s="259" t="str">
        <f>'予選 Ｐ'!A82</f>
        <v/>
      </c>
      <c r="G32" s="260" t="str">
        <f>'予選 Ｐ'!C82</f>
        <v/>
      </c>
      <c r="H32" s="253" t="str">
        <f>'予選 Ｐ'!E82</f>
        <v/>
      </c>
      <c r="I32" s="253" t="str">
        <f>'予選 Ｐ'!F82</f>
        <v/>
      </c>
    </row>
    <row r="33" spans="1:9">
      <c r="A33" s="255">
        <f>'予選 Ｐ'!A35</f>
        <v>6</v>
      </c>
      <c r="B33" s="256">
        <f>'予選 Ｐ'!C35</f>
        <v>1</v>
      </c>
      <c r="C33" s="251" t="str">
        <f>'予選 Ｐ'!E35</f>
        <v>愛工大付属</v>
      </c>
      <c r="D33" s="251" t="str">
        <f>'予選 Ｐ'!F35</f>
        <v>弓長　昇主</v>
      </c>
      <c r="F33" s="255">
        <f>'予選 Ｐ'!A83</f>
        <v>14</v>
      </c>
      <c r="G33" s="256" t="str">
        <f>'予選 Ｐ'!C83</f>
        <v/>
      </c>
      <c r="H33" s="251" t="str">
        <f>'予選 Ｐ'!E83</f>
        <v/>
      </c>
      <c r="I33" s="251" t="str">
        <f>'予選 Ｐ'!F83</f>
        <v/>
      </c>
    </row>
    <row r="34" spans="1:9">
      <c r="A34" s="257">
        <f>'予選 Ｐ'!A36</f>
        <v>6</v>
      </c>
      <c r="B34" s="258">
        <f>'予選 Ｐ'!C36</f>
        <v>2</v>
      </c>
      <c r="C34" s="252" t="str">
        <f>'予選 Ｐ'!E36</f>
        <v>速星中学校</v>
      </c>
      <c r="D34" s="252" t="str">
        <f>'予選 Ｐ'!F36</f>
        <v>石川　凌</v>
      </c>
      <c r="F34" s="257" t="str">
        <f>'予選 Ｐ'!A84</f>
        <v/>
      </c>
      <c r="G34" s="258" t="str">
        <f>'予選 Ｐ'!C84</f>
        <v/>
      </c>
      <c r="H34" s="252" t="str">
        <f>'予選 Ｐ'!E84</f>
        <v/>
      </c>
      <c r="I34" s="252" t="str">
        <f>'予選 Ｐ'!F84</f>
        <v/>
      </c>
    </row>
    <row r="35" spans="1:9">
      <c r="A35" s="257">
        <f>'予選 Ｐ'!A37</f>
        <v>6</v>
      </c>
      <c r="B35" s="258">
        <f>'予選 Ｐ'!C37</f>
        <v>3</v>
      </c>
      <c r="C35" s="252" t="str">
        <f>'予選 Ｐ'!E37</f>
        <v>武生二中</v>
      </c>
      <c r="D35" s="252" t="str">
        <f>'予選 Ｐ'!F37</f>
        <v>坂下　快斗</v>
      </c>
      <c r="F35" s="257" t="str">
        <f>'予選 Ｐ'!A85</f>
        <v/>
      </c>
      <c r="G35" s="258" t="str">
        <f>'予選 Ｐ'!C85</f>
        <v/>
      </c>
      <c r="H35" s="252" t="str">
        <f>'予選 Ｐ'!E85</f>
        <v/>
      </c>
      <c r="I35" s="252" t="str">
        <f>'予選 Ｐ'!F85</f>
        <v/>
      </c>
    </row>
    <row r="36" spans="1:9">
      <c r="A36" s="257">
        <f>'予選 Ｐ'!A38</f>
        <v>6</v>
      </c>
      <c r="B36" s="258">
        <f>'予選 Ｐ'!C38</f>
        <v>4</v>
      </c>
      <c r="C36" s="252" t="str">
        <f>'予選 Ｐ'!E38</f>
        <v>速星中学校</v>
      </c>
      <c r="D36" s="252" t="str">
        <f>'予選 Ｐ'!F38</f>
        <v>山岸　凜生</v>
      </c>
      <c r="F36" s="257" t="str">
        <f>'予選 Ｐ'!A86</f>
        <v/>
      </c>
      <c r="G36" s="258" t="str">
        <f>'予選 Ｐ'!C86</f>
        <v/>
      </c>
      <c r="H36" s="252" t="str">
        <f>'予選 Ｐ'!E86</f>
        <v/>
      </c>
      <c r="I36" s="252" t="str">
        <f>'予選 Ｐ'!F86</f>
        <v/>
      </c>
    </row>
    <row r="37" spans="1:9">
      <c r="A37" s="257">
        <f>'予選 Ｐ'!A39</f>
        <v>6</v>
      </c>
      <c r="B37" s="258">
        <f>'予選 Ｐ'!C39</f>
        <v>5</v>
      </c>
      <c r="C37" s="252" t="str">
        <f>'予選 Ｐ'!E39</f>
        <v>はしまモア</v>
      </c>
      <c r="D37" s="252" t="str">
        <f>'予選 Ｐ'!F39</f>
        <v>石橋　廉大</v>
      </c>
      <c r="F37" s="257" t="str">
        <f>'予選 Ｐ'!A87</f>
        <v/>
      </c>
      <c r="G37" s="258" t="str">
        <f>'予選 Ｐ'!C87</f>
        <v/>
      </c>
      <c r="H37" s="252" t="str">
        <f>'予選 Ｐ'!E87</f>
        <v/>
      </c>
      <c r="I37" s="252" t="str">
        <f>'予選 Ｐ'!F87</f>
        <v/>
      </c>
    </row>
    <row r="38" spans="1:9">
      <c r="A38" s="259" t="str">
        <f>'予選 Ｐ'!A40</f>
        <v/>
      </c>
      <c r="B38" s="260" t="str">
        <f>'予選 Ｐ'!C40</f>
        <v/>
      </c>
      <c r="C38" s="253" t="str">
        <f>'予選 Ｐ'!E40</f>
        <v/>
      </c>
      <c r="D38" s="253" t="str">
        <f>'予選 Ｐ'!F40</f>
        <v/>
      </c>
      <c r="F38" s="259" t="str">
        <f>'予選 Ｐ'!A88</f>
        <v/>
      </c>
      <c r="G38" s="260" t="str">
        <f>'予選 Ｐ'!C88</f>
        <v/>
      </c>
      <c r="H38" s="253" t="str">
        <f>'予選 Ｐ'!E88</f>
        <v/>
      </c>
      <c r="I38" s="253" t="str">
        <f>'予選 Ｐ'!F88</f>
        <v/>
      </c>
    </row>
    <row r="39" spans="1:9">
      <c r="A39" s="255">
        <f>'予選 Ｐ'!A41</f>
        <v>7</v>
      </c>
      <c r="B39" s="256">
        <f>'予選 Ｐ'!C41</f>
        <v>1</v>
      </c>
      <c r="C39" s="251" t="str">
        <f>'予選 Ｐ'!E41</f>
        <v>光が丘フェンシング</v>
      </c>
      <c r="D39" s="251" t="str">
        <f>'予選 Ｐ'!F41</f>
        <v>黒澤　塁</v>
      </c>
      <c r="F39" s="255">
        <f>'予選 Ｐ'!A89</f>
        <v>15</v>
      </c>
      <c r="G39" s="256" t="str">
        <f>'予選 Ｐ'!C89</f>
        <v/>
      </c>
      <c r="H39" s="251" t="str">
        <f>'予選 Ｐ'!E89</f>
        <v/>
      </c>
      <c r="I39" s="251" t="str">
        <f>'予選 Ｐ'!F89</f>
        <v/>
      </c>
    </row>
    <row r="40" spans="1:9">
      <c r="A40" s="257">
        <f>'予選 Ｐ'!A42</f>
        <v>7</v>
      </c>
      <c r="B40" s="258">
        <f>'予選 Ｐ'!C42</f>
        <v>2</v>
      </c>
      <c r="C40" s="252" t="str">
        <f>'予選 Ｐ'!E42</f>
        <v>長野ジュニア</v>
      </c>
      <c r="D40" s="252" t="str">
        <f>'予選 Ｐ'!F42</f>
        <v>杉岡　瑞基</v>
      </c>
      <c r="F40" s="257" t="str">
        <f>'予選 Ｐ'!A90</f>
        <v/>
      </c>
      <c r="G40" s="258" t="str">
        <f>'予選 Ｐ'!C90</f>
        <v/>
      </c>
      <c r="H40" s="252" t="str">
        <f>'予選 Ｐ'!E90</f>
        <v/>
      </c>
      <c r="I40" s="252" t="str">
        <f>'予選 Ｐ'!F90</f>
        <v/>
      </c>
    </row>
    <row r="41" spans="1:9">
      <c r="A41" s="257">
        <f>'予選 Ｐ'!A43</f>
        <v>7</v>
      </c>
      <c r="B41" s="258">
        <f>'予選 Ｐ'!C43</f>
        <v>3</v>
      </c>
      <c r="C41" s="252" t="str">
        <f>'予選 Ｐ'!E43</f>
        <v>速星中学校</v>
      </c>
      <c r="D41" s="252" t="str">
        <f>'予選 Ｐ'!F43</f>
        <v>飯田　龍基</v>
      </c>
      <c r="F41" s="257" t="str">
        <f>'予選 Ｐ'!A91</f>
        <v/>
      </c>
      <c r="G41" s="258" t="str">
        <f>'予選 Ｐ'!C91</f>
        <v/>
      </c>
      <c r="H41" s="252" t="str">
        <f>'予選 Ｐ'!E91</f>
        <v/>
      </c>
      <c r="I41" s="252" t="str">
        <f>'予選 Ｐ'!F91</f>
        <v/>
      </c>
    </row>
    <row r="42" spans="1:9">
      <c r="A42" s="257">
        <f>'予選 Ｐ'!A44</f>
        <v>7</v>
      </c>
      <c r="B42" s="258">
        <f>'予選 Ｐ'!C44</f>
        <v>4</v>
      </c>
      <c r="C42" s="252" t="str">
        <f>'予選 Ｐ'!E44</f>
        <v>婦中ＪＦＣ</v>
      </c>
      <c r="D42" s="252" t="str">
        <f>'予選 Ｐ'!F44</f>
        <v>横山　慶汰</v>
      </c>
      <c r="F42" s="257" t="str">
        <f>'予選 Ｐ'!A92</f>
        <v/>
      </c>
      <c r="G42" s="258" t="str">
        <f>'予選 Ｐ'!C92</f>
        <v/>
      </c>
      <c r="H42" s="252" t="str">
        <f>'予選 Ｐ'!E92</f>
        <v/>
      </c>
      <c r="I42" s="252" t="str">
        <f>'予選 Ｐ'!F92</f>
        <v/>
      </c>
    </row>
    <row r="43" spans="1:9">
      <c r="A43" s="257">
        <f>'予選 Ｐ'!A45</f>
        <v>7</v>
      </c>
      <c r="B43" s="258">
        <f>'予選 Ｐ'!C45</f>
        <v>5</v>
      </c>
      <c r="C43" s="252" t="str">
        <f>'予選 Ｐ'!E45</f>
        <v>はしまモア</v>
      </c>
      <c r="D43" s="252" t="str">
        <f>'予選 Ｐ'!F45</f>
        <v>今井　大河</v>
      </c>
      <c r="F43" s="257" t="str">
        <f>'予選 Ｐ'!A93</f>
        <v/>
      </c>
      <c r="G43" s="258" t="str">
        <f>'予選 Ｐ'!C93</f>
        <v/>
      </c>
      <c r="H43" s="252" t="str">
        <f>'予選 Ｐ'!E93</f>
        <v/>
      </c>
      <c r="I43" s="252" t="str">
        <f>'予選 Ｐ'!F93</f>
        <v/>
      </c>
    </row>
    <row r="44" spans="1:9">
      <c r="A44" s="259" t="str">
        <f>'予選 Ｐ'!A46</f>
        <v/>
      </c>
      <c r="B44" s="260" t="str">
        <f>'予選 Ｐ'!C46</f>
        <v/>
      </c>
      <c r="C44" s="253" t="str">
        <f>'予選 Ｐ'!E46</f>
        <v/>
      </c>
      <c r="D44" s="253" t="str">
        <f>'予選 Ｐ'!F46</f>
        <v/>
      </c>
      <c r="F44" s="259" t="str">
        <f>'予選 Ｐ'!A94</f>
        <v/>
      </c>
      <c r="G44" s="260" t="str">
        <f>'予選 Ｐ'!C94</f>
        <v/>
      </c>
      <c r="H44" s="253" t="str">
        <f>'予選 Ｐ'!E94</f>
        <v/>
      </c>
      <c r="I44" s="253" t="str">
        <f>'予選 Ｐ'!F94</f>
        <v/>
      </c>
    </row>
    <row r="45" spans="1:9">
      <c r="A45" s="255">
        <f>'予選 Ｐ'!A47</f>
        <v>8</v>
      </c>
      <c r="B45" s="256">
        <f>'予選 Ｐ'!C47</f>
        <v>1</v>
      </c>
      <c r="C45" s="251" t="str">
        <f>'予選 Ｐ'!E47</f>
        <v>ワセダクラブ</v>
      </c>
      <c r="D45" s="251" t="str">
        <f>'予選 Ｐ'!F47</f>
        <v>鈴木　統吾</v>
      </c>
      <c r="F45" s="255">
        <f>'予選 Ｐ'!A95</f>
        <v>16</v>
      </c>
      <c r="G45" s="256" t="str">
        <f>'予選 Ｐ'!C95</f>
        <v/>
      </c>
      <c r="H45" s="251" t="str">
        <f>'予選 Ｐ'!E95</f>
        <v/>
      </c>
      <c r="I45" s="251" t="str">
        <f>'予選 Ｐ'!F95</f>
        <v/>
      </c>
    </row>
    <row r="46" spans="1:9">
      <c r="A46" s="257">
        <f>'予選 Ｐ'!A48</f>
        <v>8</v>
      </c>
      <c r="B46" s="258">
        <f>'予選 Ｐ'!C48</f>
        <v>2</v>
      </c>
      <c r="C46" s="252" t="str">
        <f>'予選 Ｐ'!E48</f>
        <v>長野ジュニア</v>
      </c>
      <c r="D46" s="252" t="str">
        <f>'予選 Ｐ'!F48</f>
        <v>登内　雄心</v>
      </c>
      <c r="F46" s="257" t="str">
        <f>'予選 Ｐ'!A96</f>
        <v/>
      </c>
      <c r="G46" s="258" t="str">
        <f>'予選 Ｐ'!C96</f>
        <v/>
      </c>
      <c r="H46" s="252" t="str">
        <f>'予選 Ｐ'!E96</f>
        <v/>
      </c>
      <c r="I46" s="252" t="str">
        <f>'予選 Ｐ'!F96</f>
        <v/>
      </c>
    </row>
    <row r="47" spans="1:9">
      <c r="A47" s="257">
        <f>'予選 Ｐ'!A49</f>
        <v>8</v>
      </c>
      <c r="B47" s="258">
        <f>'予選 Ｐ'!C49</f>
        <v>3</v>
      </c>
      <c r="C47" s="252" t="str">
        <f>'予選 Ｐ'!E49</f>
        <v>SEIBUスポーツ</v>
      </c>
      <c r="D47" s="252" t="str">
        <f>'予選 Ｐ'!F49</f>
        <v>大原　士侑</v>
      </c>
      <c r="F47" s="257" t="str">
        <f>'予選 Ｐ'!A97</f>
        <v/>
      </c>
      <c r="G47" s="258" t="str">
        <f>'予選 Ｐ'!C97</f>
        <v/>
      </c>
      <c r="H47" s="252" t="str">
        <f>'予選 Ｐ'!E97</f>
        <v/>
      </c>
      <c r="I47" s="252" t="str">
        <f>'予選 Ｐ'!F97</f>
        <v/>
      </c>
    </row>
    <row r="48" spans="1:9">
      <c r="A48" s="257">
        <f>'予選 Ｐ'!A50</f>
        <v>8</v>
      </c>
      <c r="B48" s="258">
        <f>'予選 Ｐ'!C50</f>
        <v>4</v>
      </c>
      <c r="C48" s="252" t="str">
        <f>'予選 Ｐ'!E50</f>
        <v>箕輪中学校</v>
      </c>
      <c r="D48" s="252" t="str">
        <f>'予選 Ｐ'!F50</f>
        <v>中村　駿太</v>
      </c>
      <c r="F48" s="257" t="str">
        <f>'予選 Ｐ'!A98</f>
        <v/>
      </c>
      <c r="G48" s="258" t="str">
        <f>'予選 Ｐ'!C98</f>
        <v/>
      </c>
      <c r="H48" s="252" t="str">
        <f>'予選 Ｐ'!E98</f>
        <v/>
      </c>
      <c r="I48" s="252" t="str">
        <f>'予選 Ｐ'!F98</f>
        <v/>
      </c>
    </row>
    <row r="49" spans="1:9">
      <c r="A49" s="257">
        <f>'予選 Ｐ'!A51</f>
        <v>8</v>
      </c>
      <c r="B49" s="258">
        <f>'予選 Ｐ'!C51</f>
        <v>5</v>
      </c>
      <c r="C49" s="252" t="str">
        <f>'予選 Ｐ'!E51</f>
        <v>はしまモア</v>
      </c>
      <c r="D49" s="252" t="str">
        <f>'予選 Ｐ'!F51</f>
        <v>木曽　瑞己</v>
      </c>
      <c r="F49" s="257" t="str">
        <f>'予選 Ｐ'!A99</f>
        <v/>
      </c>
      <c r="G49" s="258" t="str">
        <f>'予選 Ｐ'!C99</f>
        <v/>
      </c>
      <c r="H49" s="252" t="str">
        <f>'予選 Ｐ'!E99</f>
        <v/>
      </c>
      <c r="I49" s="252" t="str">
        <f>'予選 Ｐ'!F99</f>
        <v/>
      </c>
    </row>
    <row r="50" spans="1:9">
      <c r="A50" s="259" t="str">
        <f>'予選 Ｐ'!A52</f>
        <v/>
      </c>
      <c r="B50" s="260" t="str">
        <f>'予選 Ｐ'!C52</f>
        <v/>
      </c>
      <c r="C50" s="253" t="str">
        <f>'予選 Ｐ'!E52</f>
        <v/>
      </c>
      <c r="D50" s="253" t="str">
        <f>'予選 Ｐ'!F52</f>
        <v/>
      </c>
      <c r="F50" s="259" t="str">
        <f>'予選 Ｐ'!A100</f>
        <v/>
      </c>
      <c r="G50" s="260" t="str">
        <f>'予選 Ｐ'!C100</f>
        <v/>
      </c>
      <c r="H50" s="253" t="str">
        <f>'予選 Ｐ'!E100</f>
        <v/>
      </c>
      <c r="I50" s="253" t="str">
        <f>'予選 Ｐ'!F100</f>
        <v/>
      </c>
    </row>
    <row r="51" spans="1:9" s="250" customFormat="1">
      <c r="A51" s="261">
        <v>16</v>
      </c>
      <c r="B51" s="261">
        <v>10</v>
      </c>
      <c r="C51" s="254" t="s">
        <v>67</v>
      </c>
      <c r="D51" s="254" t="s">
        <v>55</v>
      </c>
      <c r="F51" s="261">
        <v>16</v>
      </c>
      <c r="G51" s="261">
        <v>10</v>
      </c>
      <c r="H51" s="254" t="s">
        <v>67</v>
      </c>
      <c r="I51" s="254" t="s">
        <v>55</v>
      </c>
    </row>
  </sheetData>
  <mergeCells count="1">
    <mergeCell ref="A1:D1"/>
  </mergeCells>
  <phoneticPr fontId="3"/>
  <conditionalFormatting sqref="C51">
    <cfRule type="cellIs" dxfId="85" priority="3" stopIfTrue="1" operator="equal">
      <formula>""</formula>
    </cfRule>
    <cfRule type="cellIs" dxfId="84" priority="4" stopIfTrue="1" operator="notEqual">
      <formula>""</formula>
    </cfRule>
  </conditionalFormatting>
  <conditionalFormatting sqref="H51">
    <cfRule type="cellIs" dxfId="83" priority="1" stopIfTrue="1" operator="equal">
      <formula>""</formula>
    </cfRule>
    <cfRule type="cellIs" dxfId="82" priority="2" stopIfTrue="1" operator="notEqual">
      <formula>""</formula>
    </cfRule>
  </conditionalFormatting>
  <pageMargins left="0.59055118110236215" right="0.59055118110236215" top="0.59055118110236215" bottom="0.59055118110236215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3"/>
  <sheetViews>
    <sheetView view="pageBreakPreview" zoomScaleNormal="100" workbookViewId="0">
      <selection activeCell="L4" sqref="L4"/>
    </sheetView>
  </sheetViews>
  <sheetFormatPr defaultRowHeight="13.5" outlineLevelCol="1"/>
  <cols>
    <col min="1" max="1" width="4" style="70" bestFit="1" customWidth="1"/>
    <col min="2" max="2" width="6" style="70" hidden="1" customWidth="1" outlineLevel="1"/>
    <col min="3" max="3" width="7.7109375" style="70" bestFit="1" customWidth="1" collapsed="1"/>
    <col min="4" max="4" width="19.7109375" style="110" bestFit="1" customWidth="1"/>
    <col min="5" max="5" width="15.28515625" style="111" bestFit="1" customWidth="1"/>
    <col min="6" max="15" width="5.28515625" style="70" customWidth="1"/>
    <col min="16" max="16" width="2.28515625" style="70" customWidth="1"/>
    <col min="17" max="16384" width="9.140625" style="70"/>
  </cols>
  <sheetData>
    <row r="1" spans="1:16" s="57" customFormat="1" ht="17.25">
      <c r="A1" s="321" t="str">
        <f>名簿!$A$1</f>
        <v>第9回川本杯はしまモアフェンシング大会</v>
      </c>
      <c r="B1" s="321"/>
      <c r="C1" s="321"/>
      <c r="D1" s="321"/>
      <c r="E1" s="321"/>
      <c r="F1" s="321"/>
      <c r="G1" s="321"/>
      <c r="H1" s="321"/>
      <c r="I1" s="321"/>
      <c r="J1" s="321"/>
      <c r="K1" s="268" t="s">
        <v>72</v>
      </c>
      <c r="L1" s="322" t="s">
        <v>73</v>
      </c>
      <c r="M1" s="322"/>
      <c r="N1" s="322"/>
      <c r="O1" s="323"/>
    </row>
    <row r="2" spans="1:16" s="58" customFormat="1" ht="14.25">
      <c r="A2" s="318" t="str">
        <f>"　"&amp;名簿!$A$2</f>
        <v>　中学男子</v>
      </c>
      <c r="B2" s="318"/>
      <c r="C2" s="318"/>
      <c r="D2" s="318"/>
      <c r="E2" s="318"/>
      <c r="F2" s="318"/>
      <c r="G2" s="318"/>
      <c r="H2" s="318"/>
      <c r="I2" s="318"/>
      <c r="J2" s="318"/>
      <c r="K2" s="269"/>
      <c r="L2" s="319" t="s">
        <v>74</v>
      </c>
      <c r="M2" s="319"/>
      <c r="N2" s="319"/>
      <c r="O2" s="320"/>
    </row>
    <row r="3" spans="1:16" s="58" customFormat="1" ht="14.25">
      <c r="A3" s="314" t="str">
        <f>"　　"&amp;名簿!$A$3</f>
        <v>　　1回戦</v>
      </c>
      <c r="B3" s="314"/>
      <c r="C3" s="314"/>
      <c r="D3" s="314"/>
      <c r="E3" s="314"/>
      <c r="K3" s="315">
        <f>名簿!$E$3</f>
        <v>43184</v>
      </c>
      <c r="L3" s="315"/>
      <c r="M3" s="315"/>
      <c r="N3" s="315"/>
      <c r="O3" s="315"/>
    </row>
    <row r="4" spans="1:16">
      <c r="A4" s="59" t="s">
        <v>57</v>
      </c>
      <c r="B4" s="60" t="s">
        <v>13</v>
      </c>
      <c r="C4" s="61" t="s">
        <v>14</v>
      </c>
      <c r="D4" s="62" t="s">
        <v>7</v>
      </c>
      <c r="E4" s="63" t="s">
        <v>8</v>
      </c>
      <c r="F4" s="64">
        <v>1</v>
      </c>
      <c r="G4" s="65">
        <v>2</v>
      </c>
      <c r="H4" s="65">
        <v>3</v>
      </c>
      <c r="I4" s="65">
        <v>4</v>
      </c>
      <c r="J4" s="65">
        <v>5</v>
      </c>
      <c r="K4" s="66">
        <v>6</v>
      </c>
      <c r="L4" s="67" t="s">
        <v>58</v>
      </c>
      <c r="M4" s="68" t="s">
        <v>59</v>
      </c>
      <c r="N4" s="316" t="s">
        <v>6</v>
      </c>
      <c r="O4" s="317"/>
      <c r="P4" s="69"/>
    </row>
    <row r="5" spans="1:16" ht="18" customHeight="1">
      <c r="A5" s="71">
        <f>'予選 Ｐ'!A5</f>
        <v>1</v>
      </c>
      <c r="B5" s="72">
        <f>'予選 Ｐ'!B5</f>
        <v>1</v>
      </c>
      <c r="C5" s="73">
        <f>'予選 Ｐ'!C5</f>
        <v>1</v>
      </c>
      <c r="D5" s="34" t="str">
        <f>'予選 Ｐ'!E5</f>
        <v>愛工大付属</v>
      </c>
      <c r="E5" s="35" t="str">
        <f>'予選 Ｐ'!F5</f>
        <v>太田　拓輝</v>
      </c>
      <c r="F5" s="74"/>
      <c r="G5" s="75"/>
      <c r="H5" s="75"/>
      <c r="I5" s="75"/>
      <c r="J5" s="75"/>
      <c r="K5" s="76"/>
      <c r="L5" s="77"/>
      <c r="M5" s="78"/>
      <c r="N5" s="79"/>
      <c r="O5" s="80"/>
      <c r="P5" s="81"/>
    </row>
    <row r="6" spans="1:16" ht="18" customHeight="1">
      <c r="A6" s="82">
        <f>'予選 Ｐ'!A6</f>
        <v>1</v>
      </c>
      <c r="B6" s="83">
        <f>'予選 Ｐ'!B6</f>
        <v>18</v>
      </c>
      <c r="C6" s="84">
        <f>'予選 Ｐ'!C6</f>
        <v>2</v>
      </c>
      <c r="D6" s="36" t="str">
        <f>'予選 Ｐ'!E6</f>
        <v>速星中学校</v>
      </c>
      <c r="E6" s="35" t="str">
        <f>'予選 Ｐ'!F6</f>
        <v>長畑　知大</v>
      </c>
      <c r="F6" s="85"/>
      <c r="G6" s="86"/>
      <c r="H6" s="87"/>
      <c r="I6" s="87"/>
      <c r="J6" s="87"/>
      <c r="K6" s="88"/>
      <c r="L6" s="89"/>
      <c r="M6" s="90"/>
      <c r="N6" s="91"/>
      <c r="O6" s="92"/>
      <c r="P6" s="81"/>
    </row>
    <row r="7" spans="1:16" ht="18" customHeight="1">
      <c r="A7" s="82">
        <f>'予選 Ｐ'!A7</f>
        <v>1</v>
      </c>
      <c r="B7" s="83">
        <f>'予選 Ｐ'!B7</f>
        <v>25</v>
      </c>
      <c r="C7" s="84">
        <f>'予選 Ｐ'!C7</f>
        <v>3</v>
      </c>
      <c r="D7" s="36" t="str">
        <f>'予選 Ｐ'!E7</f>
        <v>武生二中</v>
      </c>
      <c r="E7" s="35" t="str">
        <f>'予選 Ｐ'!F7</f>
        <v>山本　雄飛</v>
      </c>
      <c r="F7" s="85"/>
      <c r="G7" s="87"/>
      <c r="H7" s="86"/>
      <c r="I7" s="87"/>
      <c r="J7" s="87"/>
      <c r="K7" s="88"/>
      <c r="L7" s="89"/>
      <c r="M7" s="90"/>
      <c r="N7" s="91"/>
      <c r="O7" s="92"/>
      <c r="P7" s="81"/>
    </row>
    <row r="8" spans="1:16" ht="18" customHeight="1">
      <c r="A8" s="82">
        <f>'予選 Ｐ'!A8</f>
        <v>1</v>
      </c>
      <c r="B8" s="83">
        <f>IF('予選 Ｐ'!B8="","",'予選 Ｐ'!B8)</f>
        <v>36</v>
      </c>
      <c r="C8" s="84">
        <f>'予選 Ｐ'!C8</f>
        <v>4</v>
      </c>
      <c r="D8" s="36" t="str">
        <f>'予選 Ｐ'!E8</f>
        <v>ワセダクラブ</v>
      </c>
      <c r="E8" s="35" t="str">
        <f>'予選 Ｐ'!F8</f>
        <v>林　祥太郎</v>
      </c>
      <c r="F8" s="85"/>
      <c r="G8" s="87"/>
      <c r="H8" s="87"/>
      <c r="I8" s="86"/>
      <c r="J8" s="87"/>
      <c r="K8" s="88"/>
      <c r="L8" s="89"/>
      <c r="M8" s="90"/>
      <c r="N8" s="91"/>
      <c r="O8" s="92"/>
      <c r="P8" s="81"/>
    </row>
    <row r="9" spans="1:16" ht="18" customHeight="1">
      <c r="A9" s="82">
        <f>'予選 Ｐ'!A9</f>
        <v>1</v>
      </c>
      <c r="B9" s="83">
        <f>IF('予選 Ｐ'!B9="","",'予選 Ｐ'!B9)</f>
        <v>37</v>
      </c>
      <c r="C9" s="84">
        <f>'予選 Ｐ'!C9</f>
        <v>5</v>
      </c>
      <c r="D9" s="36" t="str">
        <f>'予選 Ｐ'!E9</f>
        <v>河南町フェンシング</v>
      </c>
      <c r="E9" s="35" t="str">
        <f>'予選 Ｐ'!F9</f>
        <v>菊元　雪</v>
      </c>
      <c r="F9" s="85"/>
      <c r="G9" s="87"/>
      <c r="H9" s="87"/>
      <c r="I9" s="87"/>
      <c r="J9" s="86"/>
      <c r="K9" s="88"/>
      <c r="L9" s="89"/>
      <c r="M9" s="90"/>
      <c r="N9" s="91"/>
      <c r="O9" s="92"/>
      <c r="P9" s="81"/>
    </row>
    <row r="10" spans="1:16" ht="18" customHeight="1">
      <c r="A10" s="93">
        <f>'予選 Ｐ'!A10</f>
        <v>1</v>
      </c>
      <c r="B10" s="94">
        <f>IF('予選 Ｐ'!B10="","",'予選 Ｐ'!B10)</f>
        <v>47</v>
      </c>
      <c r="C10" s="95">
        <f>'予選 Ｐ'!C10</f>
        <v>6</v>
      </c>
      <c r="D10" s="37" t="str">
        <f>'予選 Ｐ'!E10</f>
        <v>はしまモア</v>
      </c>
      <c r="E10" s="96" t="str">
        <f>'予選 Ｐ'!F10</f>
        <v>光田　陽翔</v>
      </c>
      <c r="F10" s="97"/>
      <c r="G10" s="98"/>
      <c r="H10" s="98"/>
      <c r="I10" s="98"/>
      <c r="J10" s="98"/>
      <c r="K10" s="99"/>
      <c r="L10" s="100"/>
      <c r="M10" s="101"/>
      <c r="N10" s="102"/>
      <c r="O10" s="103"/>
      <c r="P10" s="81"/>
    </row>
    <row r="11" spans="1:16" s="104" customFormat="1" ht="10.5">
      <c r="D11" s="105"/>
      <c r="E11" s="106"/>
    </row>
    <row r="12" spans="1:16" s="1" customFormat="1">
      <c r="C12" s="38" t="s">
        <v>0</v>
      </c>
      <c r="D12" s="39" t="s">
        <v>16</v>
      </c>
      <c r="E12" s="40" t="s">
        <v>17</v>
      </c>
      <c r="F12" s="2">
        <v>1</v>
      </c>
      <c r="G12" s="3">
        <v>2</v>
      </c>
      <c r="H12" s="3">
        <v>3</v>
      </c>
      <c r="I12" s="3">
        <v>4</v>
      </c>
      <c r="J12" s="3">
        <v>5</v>
      </c>
      <c r="K12" s="3">
        <v>6</v>
      </c>
      <c r="L12" s="3">
        <v>7</v>
      </c>
      <c r="M12" s="3">
        <v>8</v>
      </c>
      <c r="N12" s="3">
        <v>9</v>
      </c>
      <c r="O12" s="4" t="s">
        <v>5</v>
      </c>
    </row>
    <row r="13" spans="1:16" s="1" customFormat="1">
      <c r="A13" s="1">
        <v>1</v>
      </c>
      <c r="C13" s="41">
        <v>1</v>
      </c>
      <c r="D13" s="42" t="str">
        <f>IF(C13&gt;0,VLOOKUP(C13,C5:E10,2,FALSE),"")</f>
        <v>愛工大付属</v>
      </c>
      <c r="E13" s="43" t="str">
        <f>IF(C13&gt;0,VLOOKUP(C13,C5:E10,3,FALSE),"")</f>
        <v>太田　拓輝</v>
      </c>
      <c r="F13" s="5"/>
      <c r="G13" s="6"/>
      <c r="H13" s="6"/>
      <c r="I13" s="6"/>
      <c r="J13" s="6"/>
      <c r="K13" s="6"/>
      <c r="L13" s="6"/>
      <c r="M13" s="6"/>
      <c r="N13" s="6"/>
      <c r="O13" s="7"/>
    </row>
    <row r="14" spans="1:16" s="1" customFormat="1">
      <c r="C14" s="44">
        <f>IF(C10=6,2,IF(C9=5,2,IF(C8=4,4,IF(C7=3,3))))</f>
        <v>2</v>
      </c>
      <c r="D14" s="45" t="str">
        <f>IF(C14&gt;0,VLOOKUP(C14,C5:E10,2,FALSE),"")</f>
        <v>速星中学校</v>
      </c>
      <c r="E14" s="46" t="str">
        <f>IF(C14&gt;0,VLOOKUP(C14,C5:E10,3,FALSE),"")</f>
        <v>長畑　知大</v>
      </c>
      <c r="F14" s="8"/>
      <c r="G14" s="9"/>
      <c r="H14" s="9"/>
      <c r="I14" s="9"/>
      <c r="J14" s="9"/>
      <c r="K14" s="9"/>
      <c r="L14" s="9"/>
      <c r="M14" s="9"/>
      <c r="N14" s="9"/>
      <c r="O14" s="10"/>
    </row>
    <row r="15" spans="1:16" s="11" customFormat="1" ht="10.5">
      <c r="D15" s="47"/>
      <c r="E15" s="48"/>
    </row>
    <row r="16" spans="1:16" s="1" customFormat="1">
      <c r="A16" s="1">
        <v>2</v>
      </c>
      <c r="C16" s="41">
        <f>IF(C10=6,4,IF(C9=5,3,IF(C8=4,2,IF(C7=3,2))))</f>
        <v>4</v>
      </c>
      <c r="D16" s="42" t="str">
        <f>IF(C16&gt;0,VLOOKUP(C16,C5:E10,2,FALSE),"")</f>
        <v>ワセダクラブ</v>
      </c>
      <c r="E16" s="43" t="str">
        <f>IF(C16&gt;0,VLOOKUP(C16,C5:E10,3,FALSE),"")</f>
        <v>林　祥太郎</v>
      </c>
      <c r="F16" s="5"/>
      <c r="G16" s="6"/>
      <c r="H16" s="6"/>
      <c r="I16" s="6"/>
      <c r="J16" s="6"/>
      <c r="K16" s="6"/>
      <c r="L16" s="6"/>
      <c r="M16" s="6"/>
      <c r="N16" s="6"/>
      <c r="O16" s="7"/>
    </row>
    <row r="17" spans="1:15" s="1" customFormat="1">
      <c r="C17" s="44">
        <f>IF(C10=6,5,IF(C9=5,4,IF(C8=4,3,IF(C7=3,3))))</f>
        <v>5</v>
      </c>
      <c r="D17" s="45" t="str">
        <f>IF(C17&gt;0,VLOOKUP(C17,C5:E10,2,FALSE),"")</f>
        <v>河南町フェンシング</v>
      </c>
      <c r="E17" s="46" t="str">
        <f>IF(C17&gt;0,VLOOKUP(C17,C5:E10,3,FALSE),"")</f>
        <v>菊元　雪</v>
      </c>
      <c r="F17" s="8"/>
      <c r="G17" s="9"/>
      <c r="H17" s="9"/>
      <c r="I17" s="9"/>
      <c r="J17" s="9"/>
      <c r="K17" s="9"/>
      <c r="L17" s="9"/>
      <c r="M17" s="9"/>
      <c r="N17" s="9"/>
      <c r="O17" s="10"/>
    </row>
    <row r="18" spans="1:15" s="11" customFormat="1" ht="10.5">
      <c r="D18" s="47"/>
      <c r="E18" s="48"/>
    </row>
    <row r="19" spans="1:15" s="1" customFormat="1">
      <c r="A19" s="1">
        <v>3</v>
      </c>
      <c r="C19" s="41">
        <f>IF(C10=6,2,IF(C9=5,5,IF(C8=4,1,IF(C7=3,1))))</f>
        <v>2</v>
      </c>
      <c r="D19" s="42" t="str">
        <f>IF(C19&gt;0,VLOOKUP(C19,C5:E10,2,FALSE),"")</f>
        <v>速星中学校</v>
      </c>
      <c r="E19" s="43" t="str">
        <f>IF(C19&gt;0,VLOOKUP(C19,C5:E10,3,FALSE),"")</f>
        <v>長畑　知大</v>
      </c>
      <c r="F19" s="5"/>
      <c r="G19" s="6"/>
      <c r="H19" s="6"/>
      <c r="I19" s="6"/>
      <c r="J19" s="6"/>
      <c r="K19" s="6"/>
      <c r="L19" s="6"/>
      <c r="M19" s="6"/>
      <c r="N19" s="6"/>
      <c r="O19" s="7"/>
    </row>
    <row r="20" spans="1:15" s="1" customFormat="1">
      <c r="C20" s="44">
        <f>IF(C10=6,3,IF(C9=5,1,IF(C8=4,3,IF(C7=3,2))))</f>
        <v>3</v>
      </c>
      <c r="D20" s="45" t="str">
        <f>IF(C20&gt;0,VLOOKUP(C20,C5:E10,2,FALSE),"")</f>
        <v>武生二中</v>
      </c>
      <c r="E20" s="46" t="str">
        <f>IF(C20&gt;0,VLOOKUP(C20,C5:E10,3,FALSE),"")</f>
        <v>山本　雄飛</v>
      </c>
      <c r="F20" s="8"/>
      <c r="G20" s="9"/>
      <c r="H20" s="9"/>
      <c r="I20" s="9"/>
      <c r="J20" s="9"/>
      <c r="K20" s="9"/>
      <c r="L20" s="9"/>
      <c r="M20" s="9"/>
      <c r="N20" s="9"/>
      <c r="O20" s="10"/>
    </row>
    <row r="21" spans="1:15" s="11" customFormat="1" ht="10.5">
      <c r="C21" s="49"/>
      <c r="D21" s="50"/>
      <c r="E21" s="51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1:15" s="1" customFormat="1">
      <c r="A22" s="1">
        <v>4</v>
      </c>
      <c r="C22" s="41">
        <f>IF(C10=6,5,IF(C9=5,2,IF(C8=4,2,IF(C7=3,0,0))))</f>
        <v>5</v>
      </c>
      <c r="D22" s="42" t="str">
        <f>IF(C22&gt;0,VLOOKUP(C22,C5:E10,2,FALSE),"")</f>
        <v>河南町フェンシング</v>
      </c>
      <c r="E22" s="43" t="str">
        <f>IF(C22&gt;0,VLOOKUP(C22,C5:E10,3,FALSE),"")</f>
        <v>菊元　雪</v>
      </c>
      <c r="F22" s="5"/>
      <c r="G22" s="6"/>
      <c r="H22" s="6"/>
      <c r="I22" s="6"/>
      <c r="J22" s="6"/>
      <c r="K22" s="6"/>
      <c r="L22" s="6"/>
      <c r="M22" s="6"/>
      <c r="N22" s="6"/>
      <c r="O22" s="7"/>
    </row>
    <row r="23" spans="1:15" s="1" customFormat="1">
      <c r="C23" s="44">
        <f>IF(C10=6,6,IF(C9=5,3,IF(C8=4,4,IF(C7=3,0,0))))</f>
        <v>6</v>
      </c>
      <c r="D23" s="45" t="str">
        <f>IF(C23&gt;0,VLOOKUP(C23,C5:E10,2,FALSE),"")</f>
        <v>はしまモア</v>
      </c>
      <c r="E23" s="46" t="str">
        <f>IF(C23&gt;0,VLOOKUP(C23,C5:E10,3,FALSE),"")</f>
        <v>光田　陽翔</v>
      </c>
      <c r="F23" s="8"/>
      <c r="G23" s="9"/>
      <c r="H23" s="9"/>
      <c r="I23" s="9"/>
      <c r="J23" s="9"/>
      <c r="K23" s="9"/>
      <c r="L23" s="9"/>
      <c r="M23" s="9"/>
      <c r="N23" s="9"/>
      <c r="O23" s="10"/>
    </row>
    <row r="24" spans="1:15" s="11" customFormat="1" ht="10.5">
      <c r="C24" s="49"/>
      <c r="D24" s="50"/>
      <c r="E24" s="51"/>
      <c r="F24" s="12"/>
      <c r="G24" s="12"/>
      <c r="H24" s="12"/>
      <c r="I24" s="12"/>
      <c r="J24" s="12"/>
      <c r="K24" s="12"/>
      <c r="L24" s="12"/>
      <c r="M24" s="12"/>
      <c r="N24" s="12"/>
      <c r="O24" s="13"/>
    </row>
    <row r="25" spans="1:15" s="1" customFormat="1">
      <c r="A25" s="1">
        <v>5</v>
      </c>
      <c r="C25" s="41">
        <f>IF(C10=6,3,IF(C9=5,5,IF(C8=4,3,IF(C7=3,0,0))))</f>
        <v>3</v>
      </c>
      <c r="D25" s="42" t="str">
        <f>IF(C25&gt;0,VLOOKUP(C25,C5:E10,2,FALSE),"")</f>
        <v>武生二中</v>
      </c>
      <c r="E25" s="43" t="str">
        <f>IF(C25&gt;0,VLOOKUP(C25,C5:E10,3,FALSE),"")</f>
        <v>山本　雄飛</v>
      </c>
      <c r="F25" s="5"/>
      <c r="G25" s="6"/>
      <c r="H25" s="6"/>
      <c r="I25" s="6"/>
      <c r="J25" s="6"/>
      <c r="K25" s="6"/>
      <c r="L25" s="6"/>
      <c r="M25" s="6"/>
      <c r="N25" s="6"/>
      <c r="O25" s="7"/>
    </row>
    <row r="26" spans="1:15" s="1" customFormat="1">
      <c r="C26" s="44">
        <f>IF(C10=6,1,IF(C9=5,4,IF(C8=4,4,IF(C7=3,0,0))))</f>
        <v>1</v>
      </c>
      <c r="D26" s="45" t="str">
        <f>IF(C26&gt;0,VLOOKUP(C26,C5:E10,2,FALSE),"")</f>
        <v>愛工大付属</v>
      </c>
      <c r="E26" s="46" t="str">
        <f>IF(C26&gt;0,VLOOKUP(C26,C5:E10,3,FALSE),"")</f>
        <v>太田　拓輝</v>
      </c>
      <c r="F26" s="8"/>
      <c r="G26" s="9"/>
      <c r="H26" s="9"/>
      <c r="I26" s="9"/>
      <c r="J26" s="9"/>
      <c r="K26" s="9"/>
      <c r="L26" s="9"/>
      <c r="M26" s="9"/>
      <c r="N26" s="9"/>
      <c r="O26" s="10"/>
    </row>
    <row r="27" spans="1:15" s="11" customFormat="1" ht="10.5">
      <c r="C27" s="49"/>
      <c r="D27" s="50"/>
      <c r="E27" s="51"/>
      <c r="F27" s="12"/>
      <c r="G27" s="12"/>
      <c r="H27" s="12"/>
      <c r="I27" s="12"/>
      <c r="J27" s="12"/>
      <c r="K27" s="12"/>
      <c r="L27" s="12"/>
      <c r="M27" s="12"/>
      <c r="N27" s="12"/>
      <c r="O27" s="13"/>
    </row>
    <row r="28" spans="1:15" s="1" customFormat="1">
      <c r="A28" s="1">
        <v>6</v>
      </c>
      <c r="C28" s="41">
        <f>IF(C10=6,6,IF(C9=5,1,IF(C8=4,1,IF(C7=3,0,0))))</f>
        <v>6</v>
      </c>
      <c r="D28" s="42" t="str">
        <f>IF(C28&gt;0,VLOOKUP(C28,C5:E10,2,FALSE),"")</f>
        <v>はしまモア</v>
      </c>
      <c r="E28" s="43" t="str">
        <f>IF(C28&gt;0,VLOOKUP(C28,C5:E10,3,FALSE),"")</f>
        <v>光田　陽翔</v>
      </c>
      <c r="F28" s="5"/>
      <c r="G28" s="6"/>
      <c r="H28" s="6"/>
      <c r="I28" s="6"/>
      <c r="J28" s="6"/>
      <c r="K28" s="6"/>
      <c r="L28" s="6"/>
      <c r="M28" s="6"/>
      <c r="N28" s="6"/>
      <c r="O28" s="7"/>
    </row>
    <row r="29" spans="1:15" s="1" customFormat="1">
      <c r="C29" s="44">
        <f>IF(C10=6,4,IF(C9=5,3,IF(C8=4,2,IF(C7=3,0,0))))</f>
        <v>4</v>
      </c>
      <c r="D29" s="45" t="str">
        <f>IF(C29&gt;0,VLOOKUP(C29,C5:E10,2,FALSE),"")</f>
        <v>ワセダクラブ</v>
      </c>
      <c r="E29" s="46" t="str">
        <f>IF(C29&gt;0,VLOOKUP(C29,C5:E10,3,FALSE),"")</f>
        <v>林　祥太郎</v>
      </c>
      <c r="F29" s="8"/>
      <c r="G29" s="9"/>
      <c r="H29" s="9"/>
      <c r="I29" s="9"/>
      <c r="J29" s="9"/>
      <c r="K29" s="9"/>
      <c r="L29" s="9"/>
      <c r="M29" s="9"/>
      <c r="N29" s="9"/>
      <c r="O29" s="10"/>
    </row>
    <row r="30" spans="1:15" s="11" customFormat="1" ht="10.5">
      <c r="C30" s="49"/>
      <c r="D30" s="50"/>
      <c r="E30" s="51"/>
      <c r="F30" s="12"/>
      <c r="G30" s="12"/>
      <c r="H30" s="12"/>
      <c r="I30" s="12"/>
      <c r="J30" s="12"/>
      <c r="K30" s="12"/>
      <c r="L30" s="12"/>
      <c r="M30" s="12"/>
      <c r="N30" s="12"/>
      <c r="O30" s="13"/>
    </row>
    <row r="31" spans="1:15" s="1" customFormat="1">
      <c r="A31" s="1">
        <v>7</v>
      </c>
      <c r="C31" s="41">
        <f>IF(C10=6,2,IF(C9=5,2,IF(C8=4,0,0)))</f>
        <v>2</v>
      </c>
      <c r="D31" s="42" t="str">
        <f>IF(C31&gt;0,VLOOKUP(C31,C5:E10,2,FALSE),"")</f>
        <v>速星中学校</v>
      </c>
      <c r="E31" s="43" t="str">
        <f>IF(C31&gt;0,VLOOKUP(C31,C5:E10,3,FALSE),"")</f>
        <v>長畑　知大</v>
      </c>
      <c r="F31" s="5"/>
      <c r="G31" s="6"/>
      <c r="H31" s="6"/>
      <c r="I31" s="6"/>
      <c r="J31" s="6"/>
      <c r="K31" s="6"/>
      <c r="L31" s="6"/>
      <c r="M31" s="6"/>
      <c r="N31" s="6"/>
      <c r="O31" s="7"/>
    </row>
    <row r="32" spans="1:15" s="1" customFormat="1">
      <c r="C32" s="44">
        <f>IF(C10=6,5,IF(C9=5,5,IF(C8=4,0,0)))</f>
        <v>5</v>
      </c>
      <c r="D32" s="45" t="str">
        <f>IF(C32&gt;0,VLOOKUP(C32,C5:E10,2,FALSE),"")</f>
        <v>河南町フェンシング</v>
      </c>
      <c r="E32" s="46" t="str">
        <f>IF(C32&gt;0,VLOOKUP(C32,C5:E10,3,FALSE),"")</f>
        <v>菊元　雪</v>
      </c>
      <c r="F32" s="8"/>
      <c r="G32" s="9"/>
      <c r="H32" s="9"/>
      <c r="I32" s="9"/>
      <c r="J32" s="9"/>
      <c r="K32" s="9"/>
      <c r="L32" s="9"/>
      <c r="M32" s="9"/>
      <c r="N32" s="9"/>
      <c r="O32" s="10"/>
    </row>
    <row r="33" spans="1:15" s="11" customFormat="1" ht="10.5">
      <c r="C33" s="49"/>
      <c r="D33" s="50"/>
      <c r="E33" s="51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1:15" s="1" customFormat="1">
      <c r="A34" s="1">
        <v>8</v>
      </c>
      <c r="C34" s="41">
        <f>IF(C10=6,1,IF(C9=5,4,IF(C8=4,0,0)))</f>
        <v>1</v>
      </c>
      <c r="D34" s="42" t="str">
        <f>IF(C34&gt;0,VLOOKUP(C34,C5:E10,2,FALSE),"")</f>
        <v>愛工大付属</v>
      </c>
      <c r="E34" s="43" t="str">
        <f>IF(C34&gt;0,VLOOKUP(C34,C5:E10,3,FALSE),"")</f>
        <v>太田　拓輝</v>
      </c>
      <c r="F34" s="5"/>
      <c r="G34" s="6"/>
      <c r="H34" s="6"/>
      <c r="I34" s="6"/>
      <c r="J34" s="6"/>
      <c r="K34" s="6"/>
      <c r="L34" s="6"/>
      <c r="M34" s="6"/>
      <c r="N34" s="6"/>
      <c r="O34" s="7"/>
    </row>
    <row r="35" spans="1:15" s="1" customFormat="1">
      <c r="C35" s="44">
        <f>IF(C10=6,4,IF(C9=5,1,IF(C8=4,0,0)))</f>
        <v>4</v>
      </c>
      <c r="D35" s="45" t="str">
        <f>IF(C35&gt;0,VLOOKUP(C35,C5:E10,2,FALSE),"")</f>
        <v>ワセダクラブ</v>
      </c>
      <c r="E35" s="46" t="str">
        <f>IF(C35&gt;0,VLOOKUP(C35,C5:E10,3,FALSE),"")</f>
        <v>林　祥太郎</v>
      </c>
      <c r="F35" s="8"/>
      <c r="G35" s="9"/>
      <c r="H35" s="9"/>
      <c r="I35" s="9"/>
      <c r="J35" s="9"/>
      <c r="K35" s="9"/>
      <c r="L35" s="9"/>
      <c r="M35" s="9"/>
      <c r="N35" s="9"/>
      <c r="O35" s="10"/>
    </row>
    <row r="36" spans="1:15" s="11" customFormat="1" ht="10.5">
      <c r="C36" s="49"/>
      <c r="D36" s="50"/>
      <c r="E36" s="51"/>
      <c r="F36" s="12"/>
      <c r="G36" s="12"/>
      <c r="H36" s="12"/>
      <c r="I36" s="12"/>
      <c r="J36" s="12"/>
      <c r="K36" s="12"/>
      <c r="L36" s="12"/>
      <c r="M36" s="12"/>
      <c r="N36" s="12"/>
      <c r="O36" s="13"/>
    </row>
    <row r="37" spans="1:15" s="1" customFormat="1">
      <c r="A37" s="1">
        <v>9</v>
      </c>
      <c r="C37" s="41">
        <f>IF(C10=6,5,IF(C9=5,3,IF(C8=4,0,0)))</f>
        <v>5</v>
      </c>
      <c r="D37" s="42" t="str">
        <f>IF(C37&gt;0,VLOOKUP(C37,C5:E10,2,FALSE),"")</f>
        <v>河南町フェンシング</v>
      </c>
      <c r="E37" s="43" t="str">
        <f>IF(C37&gt;0,VLOOKUP(C37,C5:E10,3,FALSE),"")</f>
        <v>菊元　雪</v>
      </c>
      <c r="F37" s="5"/>
      <c r="G37" s="6"/>
      <c r="H37" s="6"/>
      <c r="I37" s="6"/>
      <c r="J37" s="6"/>
      <c r="K37" s="6"/>
      <c r="L37" s="6"/>
      <c r="M37" s="6"/>
      <c r="N37" s="6"/>
      <c r="O37" s="7"/>
    </row>
    <row r="38" spans="1:15" s="1" customFormat="1">
      <c r="C38" s="44">
        <f>IF(C10=6,3,IF(C9=5,5,IF(C8=4,0,0)))</f>
        <v>3</v>
      </c>
      <c r="D38" s="45" t="str">
        <f>IF(C38&gt;0,VLOOKUP(C38,C5:E10,2,FALSE),"")</f>
        <v>武生二中</v>
      </c>
      <c r="E38" s="46" t="str">
        <f>IF(C38&gt;0,VLOOKUP(C38,C5:E10,3,FALSE),"")</f>
        <v>山本　雄飛</v>
      </c>
      <c r="F38" s="8"/>
      <c r="G38" s="9"/>
      <c r="H38" s="9"/>
      <c r="I38" s="9"/>
      <c r="J38" s="9"/>
      <c r="K38" s="9"/>
      <c r="L38" s="9"/>
      <c r="M38" s="9"/>
      <c r="N38" s="9"/>
      <c r="O38" s="10"/>
    </row>
    <row r="39" spans="1:15" s="11" customFormat="1" ht="10.5">
      <c r="C39" s="49"/>
      <c r="D39" s="50"/>
      <c r="E39" s="51"/>
      <c r="F39" s="12"/>
      <c r="G39" s="12"/>
      <c r="H39" s="12"/>
      <c r="I39" s="12"/>
      <c r="J39" s="12"/>
      <c r="K39" s="12"/>
      <c r="L39" s="12"/>
      <c r="M39" s="12"/>
      <c r="N39" s="12"/>
      <c r="O39" s="13"/>
    </row>
    <row r="40" spans="1:15" s="1" customFormat="1">
      <c r="A40" s="1">
        <v>10</v>
      </c>
      <c r="C40" s="41">
        <f>IF(C10=6,1,IF(C9=5,4,IF(C8=4,0,0)))</f>
        <v>1</v>
      </c>
      <c r="D40" s="42" t="str">
        <f>IF(C40&gt;0,VLOOKUP(C40,C5:E10,2,FALSE),"")</f>
        <v>愛工大付属</v>
      </c>
      <c r="E40" s="43" t="str">
        <f>IF(C40&gt;0,VLOOKUP(C40,C5:E10,3,FALSE),"")</f>
        <v>太田　拓輝</v>
      </c>
      <c r="F40" s="5"/>
      <c r="G40" s="6"/>
      <c r="H40" s="6"/>
      <c r="I40" s="6"/>
      <c r="J40" s="6"/>
      <c r="K40" s="6"/>
      <c r="L40" s="6"/>
      <c r="M40" s="6"/>
      <c r="N40" s="6"/>
      <c r="O40" s="7"/>
    </row>
    <row r="41" spans="1:15" s="1" customFormat="1">
      <c r="C41" s="44">
        <f>IF(C10=6,6,IF(C9=5,2,IF(C8=4,0,0)))</f>
        <v>6</v>
      </c>
      <c r="D41" s="45" t="str">
        <f>IF(C41&gt;0,VLOOKUP(C41,C5:E10,2,FALSE),"")</f>
        <v>はしまモア</v>
      </c>
      <c r="E41" s="46" t="str">
        <f>IF(C41&gt;0,VLOOKUP(C41,C5:E10,3,FALSE),"")</f>
        <v>光田　陽翔</v>
      </c>
      <c r="F41" s="8"/>
      <c r="G41" s="9"/>
      <c r="H41" s="9"/>
      <c r="I41" s="9"/>
      <c r="J41" s="9"/>
      <c r="K41" s="9"/>
      <c r="L41" s="9"/>
      <c r="M41" s="9"/>
      <c r="N41" s="9"/>
      <c r="O41" s="10"/>
    </row>
    <row r="42" spans="1:15" s="11" customFormat="1" ht="10.5">
      <c r="C42" s="49"/>
      <c r="D42" s="50"/>
      <c r="E42" s="51"/>
      <c r="F42" s="12"/>
      <c r="G42" s="12"/>
      <c r="H42" s="12"/>
      <c r="I42" s="12"/>
      <c r="J42" s="12"/>
      <c r="K42" s="12"/>
      <c r="L42" s="12"/>
      <c r="M42" s="12"/>
      <c r="N42" s="12"/>
      <c r="O42" s="13"/>
    </row>
    <row r="43" spans="1:15" s="1" customFormat="1">
      <c r="A43" s="1">
        <v>11</v>
      </c>
      <c r="C43" s="41">
        <f>IF(C10=6,4,0)</f>
        <v>4</v>
      </c>
      <c r="D43" s="42" t="str">
        <f>IF(C43&gt;0,VLOOKUP(C43,C5:E10,2,FALSE),"")</f>
        <v>ワセダクラブ</v>
      </c>
      <c r="E43" s="43" t="str">
        <f>IF(C43&gt;0,VLOOKUP(C43,C5:E10,3,FALSE),"")</f>
        <v>林　祥太郎</v>
      </c>
      <c r="F43" s="5"/>
      <c r="G43" s="6"/>
      <c r="H43" s="6"/>
      <c r="I43" s="6"/>
      <c r="J43" s="6"/>
      <c r="K43" s="6"/>
      <c r="L43" s="6"/>
      <c r="M43" s="6"/>
      <c r="N43" s="6"/>
      <c r="O43" s="7"/>
    </row>
    <row r="44" spans="1:15" s="1" customFormat="1">
      <c r="C44" s="44">
        <f>IF(C10=6,2,0)</f>
        <v>2</v>
      </c>
      <c r="D44" s="45" t="str">
        <f>IF(C44&gt;0,VLOOKUP(C44,C5:E10,2,FALSE),"")</f>
        <v>速星中学校</v>
      </c>
      <c r="E44" s="46" t="str">
        <f>IF(C44&gt;0,VLOOKUP(C44,C5:E10,3,FALSE),"")</f>
        <v>長畑　知大</v>
      </c>
      <c r="F44" s="8"/>
      <c r="G44" s="9"/>
      <c r="H44" s="9"/>
      <c r="I44" s="9"/>
      <c r="J44" s="9"/>
      <c r="K44" s="9"/>
      <c r="L44" s="9"/>
      <c r="M44" s="9"/>
      <c r="N44" s="9"/>
      <c r="O44" s="10"/>
    </row>
    <row r="45" spans="1:15" s="11" customFormat="1" ht="10.5">
      <c r="C45" s="49"/>
      <c r="D45" s="50"/>
      <c r="E45" s="51"/>
      <c r="F45" s="12"/>
      <c r="G45" s="12"/>
      <c r="H45" s="12"/>
      <c r="I45" s="12"/>
      <c r="J45" s="12"/>
      <c r="K45" s="12"/>
      <c r="L45" s="12"/>
      <c r="M45" s="12"/>
      <c r="N45" s="12"/>
      <c r="O45" s="13"/>
    </row>
    <row r="46" spans="1:15" s="1" customFormat="1">
      <c r="A46" s="1">
        <v>12</v>
      </c>
      <c r="C46" s="41">
        <f>IF(C10=6,3,0)</f>
        <v>3</v>
      </c>
      <c r="D46" s="42" t="str">
        <f>IF(C46&gt;0,VLOOKUP(C46,C5:E10,2,FALSE),"")</f>
        <v>武生二中</v>
      </c>
      <c r="E46" s="43" t="str">
        <f>IF(C46&gt;0,VLOOKUP(C46,C5:E10,3,FALSE),"")</f>
        <v>山本　雄飛</v>
      </c>
      <c r="F46" s="5"/>
      <c r="G46" s="6"/>
      <c r="H46" s="6"/>
      <c r="I46" s="6"/>
      <c r="J46" s="6"/>
      <c r="K46" s="6"/>
      <c r="L46" s="6"/>
      <c r="M46" s="6"/>
      <c r="N46" s="6"/>
      <c r="O46" s="7"/>
    </row>
    <row r="47" spans="1:15" s="1" customFormat="1" ht="13.5" customHeight="1">
      <c r="C47" s="44">
        <f>IF(C10=6,6,0)</f>
        <v>6</v>
      </c>
      <c r="D47" s="45" t="str">
        <f>IF(C47&gt;0,VLOOKUP(C47,C5:E10,2,FALSE),"")</f>
        <v>はしまモア</v>
      </c>
      <c r="E47" s="46" t="str">
        <f>IF(C47&gt;0,VLOOKUP(C47,C5:E10,3,FALSE),"")</f>
        <v>光田　陽翔</v>
      </c>
      <c r="F47" s="8"/>
      <c r="G47" s="9"/>
      <c r="H47" s="9"/>
      <c r="I47" s="9"/>
      <c r="J47" s="9"/>
      <c r="K47" s="9"/>
      <c r="L47" s="9"/>
      <c r="M47" s="9"/>
      <c r="N47" s="9"/>
      <c r="O47" s="10"/>
    </row>
    <row r="48" spans="1:15" s="11" customFormat="1" ht="10.5">
      <c r="C48" s="49"/>
      <c r="D48" s="50"/>
      <c r="E48" s="51"/>
      <c r="F48" s="12"/>
      <c r="G48" s="12"/>
      <c r="H48" s="12"/>
      <c r="I48" s="12"/>
      <c r="J48" s="12"/>
      <c r="K48" s="12"/>
      <c r="L48" s="12"/>
      <c r="M48" s="12"/>
      <c r="N48" s="12"/>
      <c r="O48" s="13"/>
    </row>
    <row r="49" spans="1:16" s="1" customFormat="1">
      <c r="A49" s="1">
        <v>13</v>
      </c>
      <c r="C49" s="41">
        <f>IF(C10=6,5,0)</f>
        <v>5</v>
      </c>
      <c r="D49" s="42" t="str">
        <f>IF(C49&gt;0,VLOOKUP(C49,C5:E10,2,FALSE),"")</f>
        <v>河南町フェンシング</v>
      </c>
      <c r="E49" s="43" t="str">
        <f>IF(C49&gt;0,VLOOKUP(C49,C5:E10,3,FALSE),"")</f>
        <v>菊元　雪</v>
      </c>
      <c r="F49" s="5"/>
      <c r="G49" s="6"/>
      <c r="H49" s="6"/>
      <c r="I49" s="6"/>
      <c r="J49" s="6"/>
      <c r="K49" s="6"/>
      <c r="L49" s="6"/>
      <c r="M49" s="6"/>
      <c r="N49" s="6"/>
      <c r="O49" s="7"/>
    </row>
    <row r="50" spans="1:16" s="1" customFormat="1">
      <c r="C50" s="44">
        <f>IF(C10=6,1,0)</f>
        <v>1</v>
      </c>
      <c r="D50" s="45" t="str">
        <f>IF(C50&gt;0,VLOOKUP(C50,C5:E10,2,FALSE),"")</f>
        <v>愛工大付属</v>
      </c>
      <c r="E50" s="46" t="str">
        <f>IF(C50&gt;0,VLOOKUP(C50,C5:E10,3,FALSE),"")</f>
        <v>太田　拓輝</v>
      </c>
      <c r="F50" s="8"/>
      <c r="G50" s="9"/>
      <c r="H50" s="9"/>
      <c r="I50" s="9"/>
      <c r="J50" s="9"/>
      <c r="K50" s="9"/>
      <c r="L50" s="9"/>
      <c r="M50" s="9"/>
      <c r="N50" s="9"/>
      <c r="O50" s="10"/>
    </row>
    <row r="51" spans="1:16" s="11" customFormat="1" ht="10.5">
      <c r="C51" s="49"/>
      <c r="D51" s="50"/>
      <c r="E51" s="51"/>
      <c r="F51" s="12"/>
      <c r="G51" s="12"/>
      <c r="H51" s="12"/>
      <c r="I51" s="12"/>
      <c r="J51" s="12"/>
      <c r="K51" s="12"/>
      <c r="L51" s="12"/>
      <c r="M51" s="12"/>
      <c r="N51" s="12"/>
      <c r="O51" s="13"/>
    </row>
    <row r="52" spans="1:16" s="1" customFormat="1">
      <c r="A52" s="1">
        <v>14</v>
      </c>
      <c r="C52" s="41">
        <f>IF(C10=6,3,0)</f>
        <v>3</v>
      </c>
      <c r="D52" s="42" t="str">
        <f>IF(C52&gt;0,VLOOKUP(C52,C5:E10,2,FALSE),"")</f>
        <v>武生二中</v>
      </c>
      <c r="E52" s="43" t="str">
        <f>IF(C52&gt;0,VLOOKUP(C52,C5:E10,3,FALSE),"")</f>
        <v>山本　雄飛</v>
      </c>
      <c r="F52" s="5"/>
      <c r="G52" s="6"/>
      <c r="H52" s="6"/>
      <c r="I52" s="6"/>
      <c r="J52" s="6"/>
      <c r="K52" s="6"/>
      <c r="L52" s="6"/>
      <c r="M52" s="6"/>
      <c r="N52" s="6"/>
      <c r="O52" s="7"/>
    </row>
    <row r="53" spans="1:16" s="1" customFormat="1">
      <c r="C53" s="44">
        <f>IF(C10=6,4,0)</f>
        <v>4</v>
      </c>
      <c r="D53" s="45" t="str">
        <f>IF(C53&gt;0,VLOOKUP(C53,C5:E10,2,FALSE),"")</f>
        <v>ワセダクラブ</v>
      </c>
      <c r="E53" s="46" t="str">
        <f>IF(C53&gt;0,VLOOKUP(C53,C5:E10,3,FALSE),"")</f>
        <v>林　祥太郎</v>
      </c>
      <c r="F53" s="8"/>
      <c r="G53" s="9"/>
      <c r="H53" s="9"/>
      <c r="I53" s="9"/>
      <c r="J53" s="9"/>
      <c r="K53" s="9"/>
      <c r="L53" s="9"/>
      <c r="M53" s="9"/>
      <c r="N53" s="9"/>
      <c r="O53" s="10"/>
    </row>
    <row r="54" spans="1:16" s="11" customFormat="1" ht="10.5">
      <c r="C54" s="49"/>
      <c r="D54" s="50"/>
      <c r="E54" s="51"/>
      <c r="F54" s="12"/>
      <c r="G54" s="12"/>
      <c r="H54" s="12"/>
      <c r="I54" s="12"/>
      <c r="J54" s="12"/>
      <c r="K54" s="12"/>
      <c r="L54" s="12"/>
      <c r="M54" s="12"/>
      <c r="N54" s="12"/>
      <c r="O54" s="13"/>
    </row>
    <row r="55" spans="1:16" s="1" customFormat="1">
      <c r="A55" s="1">
        <v>15</v>
      </c>
      <c r="C55" s="41">
        <f>IF(C10=6,6,0)</f>
        <v>6</v>
      </c>
      <c r="D55" s="42" t="str">
        <f>IF(C55&gt;0,VLOOKUP(C55,C5:E10,2,FALSE),"")</f>
        <v>はしまモア</v>
      </c>
      <c r="E55" s="43" t="str">
        <f>IF(C55&gt;0,VLOOKUP(C55,C5:E10,3,FALSE),"")</f>
        <v>光田　陽翔</v>
      </c>
      <c r="F55" s="5"/>
      <c r="G55" s="6"/>
      <c r="H55" s="6"/>
      <c r="I55" s="6"/>
      <c r="J55" s="6"/>
      <c r="K55" s="6"/>
      <c r="L55" s="6"/>
      <c r="M55" s="6"/>
      <c r="N55" s="6"/>
      <c r="O55" s="7"/>
    </row>
    <row r="56" spans="1:16" s="1" customFormat="1">
      <c r="C56" s="44">
        <f>IF(C10=6,2,0)</f>
        <v>2</v>
      </c>
      <c r="D56" s="45" t="str">
        <f>IF(C56&gt;0,VLOOKUP(C56,C5:E10,2,FALSE),"")</f>
        <v>速星中学校</v>
      </c>
      <c r="E56" s="46" t="str">
        <f>IF(C56&gt;0,VLOOKUP(C56,C5:E10,3,FALSE),"")</f>
        <v>長畑　知大</v>
      </c>
      <c r="F56" s="8"/>
      <c r="G56" s="9"/>
      <c r="H56" s="9"/>
      <c r="I56" s="9"/>
      <c r="J56" s="9"/>
      <c r="K56" s="9"/>
      <c r="L56" s="9"/>
      <c r="M56" s="9"/>
      <c r="N56" s="9"/>
      <c r="O56" s="10"/>
    </row>
    <row r="57" spans="1:16" s="104" customFormat="1" ht="10.5">
      <c r="C57" s="107"/>
      <c r="D57" s="52"/>
      <c r="E57" s="53"/>
      <c r="F57" s="108"/>
      <c r="G57" s="108"/>
      <c r="H57" s="108"/>
      <c r="I57" s="108"/>
      <c r="J57" s="108"/>
      <c r="K57" s="108"/>
      <c r="L57" s="108"/>
      <c r="M57" s="108"/>
      <c r="N57" s="108"/>
      <c r="O57" s="109"/>
    </row>
    <row r="58" spans="1:16" s="57" customFormat="1" ht="17.25">
      <c r="A58" s="321" t="str">
        <f>名簿!$A$1</f>
        <v>第9回川本杯はしまモアフェンシング大会</v>
      </c>
      <c r="B58" s="321"/>
      <c r="C58" s="321"/>
      <c r="D58" s="321"/>
      <c r="E58" s="321"/>
      <c r="F58" s="321"/>
      <c r="G58" s="321"/>
      <c r="H58" s="321"/>
      <c r="I58" s="321"/>
      <c r="J58" s="321"/>
      <c r="K58" s="268" t="s">
        <v>72</v>
      </c>
      <c r="L58" s="322" t="s">
        <v>73</v>
      </c>
      <c r="M58" s="322"/>
      <c r="N58" s="322"/>
      <c r="O58" s="323"/>
    </row>
    <row r="59" spans="1:16" s="58" customFormat="1" ht="14.25">
      <c r="A59" s="318" t="str">
        <f>"　"&amp;名簿!$A$2</f>
        <v>　中学男子</v>
      </c>
      <c r="B59" s="318"/>
      <c r="C59" s="318"/>
      <c r="D59" s="318"/>
      <c r="E59" s="318"/>
      <c r="F59" s="318"/>
      <c r="G59" s="318"/>
      <c r="H59" s="318"/>
      <c r="I59" s="318"/>
      <c r="J59" s="318"/>
      <c r="K59" s="269"/>
      <c r="L59" s="319" t="s">
        <v>74</v>
      </c>
      <c r="M59" s="319"/>
      <c r="N59" s="319"/>
      <c r="O59" s="320"/>
    </row>
    <row r="60" spans="1:16" s="58" customFormat="1" ht="14.25">
      <c r="A60" s="314" t="str">
        <f>"　　"&amp;名簿!$A$3</f>
        <v>　　1回戦</v>
      </c>
      <c r="B60" s="314"/>
      <c r="C60" s="314"/>
      <c r="D60" s="314"/>
      <c r="E60" s="314"/>
      <c r="K60" s="315">
        <f>名簿!$E$3</f>
        <v>43184</v>
      </c>
      <c r="L60" s="315"/>
      <c r="M60" s="315"/>
      <c r="N60" s="315"/>
      <c r="O60" s="315"/>
    </row>
    <row r="61" spans="1:16">
      <c r="A61" s="59" t="s">
        <v>57</v>
      </c>
      <c r="B61" s="60" t="s">
        <v>13</v>
      </c>
      <c r="C61" s="61" t="s">
        <v>0</v>
      </c>
      <c r="D61" s="62" t="s">
        <v>7</v>
      </c>
      <c r="E61" s="63" t="s">
        <v>8</v>
      </c>
      <c r="F61" s="64">
        <v>1</v>
      </c>
      <c r="G61" s="65">
        <v>2</v>
      </c>
      <c r="H61" s="65">
        <v>3</v>
      </c>
      <c r="I61" s="65">
        <v>4</v>
      </c>
      <c r="J61" s="65">
        <v>5</v>
      </c>
      <c r="K61" s="66">
        <v>6</v>
      </c>
      <c r="L61" s="67" t="s">
        <v>58</v>
      </c>
      <c r="M61" s="68" t="s">
        <v>59</v>
      </c>
      <c r="N61" s="316" t="s">
        <v>6</v>
      </c>
      <c r="O61" s="317"/>
      <c r="P61" s="69"/>
    </row>
    <row r="62" spans="1:16" ht="18" customHeight="1">
      <c r="A62" s="71">
        <f>'予選 Ｐ'!A11</f>
        <v>2</v>
      </c>
      <c r="B62" s="72">
        <f>'予選 Ｐ'!B11</f>
        <v>2</v>
      </c>
      <c r="C62" s="73">
        <f>'予選 Ｐ'!C11</f>
        <v>1</v>
      </c>
      <c r="D62" s="34" t="str">
        <f>'予選 Ｐ'!E11</f>
        <v>はしまモア</v>
      </c>
      <c r="E62" s="35" t="str">
        <f>'予選 Ｐ'!F11</f>
        <v>田内　稜大</v>
      </c>
      <c r="F62" s="74"/>
      <c r="G62" s="75"/>
      <c r="H62" s="75"/>
      <c r="I62" s="75"/>
      <c r="J62" s="75"/>
      <c r="K62" s="76"/>
      <c r="L62" s="77"/>
      <c r="M62" s="78"/>
      <c r="N62" s="79"/>
      <c r="O62" s="80"/>
      <c r="P62" s="81"/>
    </row>
    <row r="63" spans="1:16" ht="18" customHeight="1">
      <c r="A63" s="82">
        <f>'予選 Ｐ'!A12</f>
        <v>2</v>
      </c>
      <c r="B63" s="83">
        <f>'予選 Ｐ'!B12</f>
        <v>17</v>
      </c>
      <c r="C63" s="84">
        <f>'予選 Ｐ'!C12</f>
        <v>2</v>
      </c>
      <c r="D63" s="36" t="str">
        <f>'予選 Ｐ'!E12</f>
        <v>速星中学校</v>
      </c>
      <c r="E63" s="35" t="str">
        <f>'予選 Ｐ'!F12</f>
        <v>廣野　惇奈</v>
      </c>
      <c r="F63" s="85"/>
      <c r="G63" s="86"/>
      <c r="H63" s="87"/>
      <c r="I63" s="87"/>
      <c r="J63" s="87"/>
      <c r="K63" s="88"/>
      <c r="L63" s="89"/>
      <c r="M63" s="90"/>
      <c r="N63" s="91"/>
      <c r="O63" s="92"/>
      <c r="P63" s="81"/>
    </row>
    <row r="64" spans="1:16" ht="18" customHeight="1">
      <c r="A64" s="82">
        <f>'予選 Ｐ'!A13</f>
        <v>2</v>
      </c>
      <c r="B64" s="83">
        <f>'予選 Ｐ'!B13</f>
        <v>31</v>
      </c>
      <c r="C64" s="84">
        <f>'予選 Ｐ'!C13</f>
        <v>3</v>
      </c>
      <c r="D64" s="36" t="str">
        <f>'予選 Ｐ'!E13</f>
        <v>愛工大付属</v>
      </c>
      <c r="E64" s="35" t="str">
        <f>'予選 Ｐ'!F13</f>
        <v>山口　倫生</v>
      </c>
      <c r="F64" s="85"/>
      <c r="G64" s="87"/>
      <c r="H64" s="86"/>
      <c r="I64" s="87"/>
      <c r="J64" s="87"/>
      <c r="K64" s="88"/>
      <c r="L64" s="89"/>
      <c r="M64" s="90"/>
      <c r="N64" s="91"/>
      <c r="O64" s="92"/>
      <c r="P64" s="81"/>
    </row>
    <row r="65" spans="1:16" ht="18" customHeight="1">
      <c r="A65" s="82">
        <f>'予選 Ｐ'!A14</f>
        <v>2</v>
      </c>
      <c r="B65" s="83">
        <f>IF('予選 Ｐ'!B14="","",'予選 Ｐ'!B14)</f>
        <v>35</v>
      </c>
      <c r="C65" s="84">
        <f>'予選 Ｐ'!C14</f>
        <v>4</v>
      </c>
      <c r="D65" s="36" t="str">
        <f>'予選 Ｐ'!E14</f>
        <v>南箕輪わくわく</v>
      </c>
      <c r="E65" s="35" t="str">
        <f>'予選 Ｐ'!F14</f>
        <v>保科　幸作</v>
      </c>
      <c r="F65" s="85"/>
      <c r="G65" s="87"/>
      <c r="H65" s="87"/>
      <c r="I65" s="86"/>
      <c r="J65" s="87"/>
      <c r="K65" s="88"/>
      <c r="L65" s="89"/>
      <c r="M65" s="90"/>
      <c r="N65" s="91"/>
      <c r="O65" s="92"/>
      <c r="P65" s="81"/>
    </row>
    <row r="66" spans="1:16" ht="18" customHeight="1">
      <c r="A66" s="82">
        <f>'予選 Ｐ'!A15</f>
        <v>2</v>
      </c>
      <c r="B66" s="83">
        <f>IF('予選 Ｐ'!B15="","",'予選 Ｐ'!B15)</f>
        <v>38</v>
      </c>
      <c r="C66" s="84">
        <f>'予選 Ｐ'!C15</f>
        <v>5</v>
      </c>
      <c r="D66" s="36" t="str">
        <f>'予選 Ｐ'!E15</f>
        <v>富山パレス</v>
      </c>
      <c r="E66" s="35" t="str">
        <f>'予選 Ｐ'!F15</f>
        <v>藤野　正真</v>
      </c>
      <c r="F66" s="85"/>
      <c r="G66" s="87"/>
      <c r="H66" s="87"/>
      <c r="I66" s="87"/>
      <c r="J66" s="86"/>
      <c r="K66" s="88"/>
      <c r="L66" s="89"/>
      <c r="M66" s="90"/>
      <c r="N66" s="91"/>
      <c r="O66" s="92"/>
      <c r="P66" s="81"/>
    </row>
    <row r="67" spans="1:16" ht="18" customHeight="1">
      <c r="A67" s="93">
        <f>'予選 Ｐ'!A16</f>
        <v>2</v>
      </c>
      <c r="B67" s="94">
        <f>IF('予選 Ｐ'!B16="","",'予選 Ｐ'!B16)</f>
        <v>42</v>
      </c>
      <c r="C67" s="95">
        <f>'予選 Ｐ'!C16</f>
        <v>6</v>
      </c>
      <c r="D67" s="37" t="str">
        <f>'予選 Ｐ'!E16</f>
        <v>横浜フェンサーズ</v>
      </c>
      <c r="E67" s="96" t="str">
        <f>'予選 Ｐ'!F16</f>
        <v>柳原　健二郎</v>
      </c>
      <c r="F67" s="97"/>
      <c r="G67" s="98"/>
      <c r="H67" s="98"/>
      <c r="I67" s="98"/>
      <c r="J67" s="98"/>
      <c r="K67" s="99"/>
      <c r="L67" s="100"/>
      <c r="M67" s="101"/>
      <c r="N67" s="102"/>
      <c r="O67" s="103"/>
      <c r="P67" s="81"/>
    </row>
    <row r="68" spans="1:16" s="104" customFormat="1" ht="10.5">
      <c r="D68" s="105"/>
      <c r="E68" s="106"/>
    </row>
    <row r="69" spans="1:16" s="1" customFormat="1">
      <c r="C69" s="38" t="s">
        <v>37</v>
      </c>
      <c r="D69" s="39" t="s">
        <v>16</v>
      </c>
      <c r="E69" s="40" t="s">
        <v>8</v>
      </c>
      <c r="F69" s="2">
        <v>1</v>
      </c>
      <c r="G69" s="3">
        <v>2</v>
      </c>
      <c r="H69" s="3">
        <v>3</v>
      </c>
      <c r="I69" s="3">
        <v>4</v>
      </c>
      <c r="J69" s="3">
        <v>5</v>
      </c>
      <c r="K69" s="3">
        <v>6</v>
      </c>
      <c r="L69" s="3">
        <v>7</v>
      </c>
      <c r="M69" s="3">
        <v>8</v>
      </c>
      <c r="N69" s="3">
        <v>9</v>
      </c>
      <c r="O69" s="4" t="s">
        <v>5</v>
      </c>
    </row>
    <row r="70" spans="1:16" s="1" customFormat="1">
      <c r="A70" s="1">
        <v>1</v>
      </c>
      <c r="C70" s="41">
        <v>1</v>
      </c>
      <c r="D70" s="42" t="str">
        <f>IF(C70&gt;0,VLOOKUP(C70,C62:E67,2,FALSE),"")</f>
        <v>はしまモア</v>
      </c>
      <c r="E70" s="43" t="str">
        <f>IF(C70&gt;0,VLOOKUP(C70,C62:E67,3,FALSE),"")</f>
        <v>田内　稜大</v>
      </c>
      <c r="F70" s="5"/>
      <c r="G70" s="6"/>
      <c r="H70" s="6"/>
      <c r="I70" s="6"/>
      <c r="J70" s="6"/>
      <c r="K70" s="6"/>
      <c r="L70" s="6"/>
      <c r="M70" s="6"/>
      <c r="N70" s="6"/>
      <c r="O70" s="7"/>
    </row>
    <row r="71" spans="1:16" s="1" customFormat="1">
      <c r="C71" s="44">
        <f>IF(C67=6,2,IF(C66=5,2,IF(C65=4,4,IF(C64=3,3))))</f>
        <v>2</v>
      </c>
      <c r="D71" s="45" t="str">
        <f>IF(C71&gt;0,VLOOKUP(C71,C62:E67,2,FALSE),"")</f>
        <v>速星中学校</v>
      </c>
      <c r="E71" s="46" t="str">
        <f>IF(C71&gt;0,VLOOKUP(C71,C62:E67,3,FALSE),"")</f>
        <v>廣野　惇奈</v>
      </c>
      <c r="F71" s="8"/>
      <c r="G71" s="9"/>
      <c r="H71" s="9"/>
      <c r="I71" s="9"/>
      <c r="J71" s="9"/>
      <c r="K71" s="9"/>
      <c r="L71" s="9"/>
      <c r="M71" s="9"/>
      <c r="N71" s="9"/>
      <c r="O71" s="10"/>
    </row>
    <row r="72" spans="1:16" s="11" customFormat="1" ht="10.5">
      <c r="D72" s="47"/>
      <c r="E72" s="48"/>
    </row>
    <row r="73" spans="1:16" s="1" customFormat="1">
      <c r="A73" s="1">
        <v>2</v>
      </c>
      <c r="C73" s="41">
        <f>IF(C67=6,4,IF(C66=5,3,IF(C65=4,2,IF(C64=3,2))))</f>
        <v>4</v>
      </c>
      <c r="D73" s="42" t="str">
        <f>IF(C73&gt;0,VLOOKUP(C73,C62:E67,2,FALSE),"")</f>
        <v>南箕輪わくわく</v>
      </c>
      <c r="E73" s="43" t="str">
        <f>IF(C73&gt;0,VLOOKUP(C73,C62:E67,3,FALSE),"")</f>
        <v>保科　幸作</v>
      </c>
      <c r="F73" s="5"/>
      <c r="G73" s="6"/>
      <c r="H73" s="6"/>
      <c r="I73" s="6"/>
      <c r="J73" s="6"/>
      <c r="K73" s="6"/>
      <c r="L73" s="6"/>
      <c r="M73" s="6"/>
      <c r="N73" s="6"/>
      <c r="O73" s="7"/>
    </row>
    <row r="74" spans="1:16" s="1" customFormat="1">
      <c r="C74" s="44">
        <f>IF(C67=6,5,IF(C66=5,4,IF(C65=4,3,IF(C64=3,3))))</f>
        <v>5</v>
      </c>
      <c r="D74" s="45" t="str">
        <f>IF(C74&gt;0,VLOOKUP(C74,C62:E67,2,FALSE),"")</f>
        <v>富山パレス</v>
      </c>
      <c r="E74" s="46" t="str">
        <f>IF(C74&gt;0,VLOOKUP(C74,C62:E67,3,FALSE),"")</f>
        <v>藤野　正真</v>
      </c>
      <c r="F74" s="8"/>
      <c r="G74" s="9"/>
      <c r="H74" s="9"/>
      <c r="I74" s="9"/>
      <c r="J74" s="9"/>
      <c r="K74" s="9"/>
      <c r="L74" s="9"/>
      <c r="M74" s="9"/>
      <c r="N74" s="9"/>
      <c r="O74" s="10"/>
    </row>
    <row r="75" spans="1:16" s="11" customFormat="1" ht="10.5">
      <c r="D75" s="47"/>
      <c r="E75" s="48"/>
    </row>
    <row r="76" spans="1:16" s="1" customFormat="1">
      <c r="A76" s="1">
        <v>3</v>
      </c>
      <c r="C76" s="41">
        <f>IF(C67=6,2,IF(C66=5,5,IF(C65=4,1,IF(C64=3,1))))</f>
        <v>2</v>
      </c>
      <c r="D76" s="42" t="str">
        <f>IF(C76&gt;0,VLOOKUP(C76,C62:E67,2,FALSE),"")</f>
        <v>速星中学校</v>
      </c>
      <c r="E76" s="43" t="str">
        <f>IF(C76&gt;0,VLOOKUP(C76,C62:E67,3,FALSE),"")</f>
        <v>廣野　惇奈</v>
      </c>
      <c r="F76" s="5"/>
      <c r="G76" s="6"/>
      <c r="H76" s="6"/>
      <c r="I76" s="6"/>
      <c r="J76" s="6"/>
      <c r="K76" s="6"/>
      <c r="L76" s="6"/>
      <c r="M76" s="6"/>
      <c r="N76" s="6"/>
      <c r="O76" s="7"/>
    </row>
    <row r="77" spans="1:16" s="1" customFormat="1">
      <c r="C77" s="44">
        <f>IF(C67=6,3,IF(C66=5,1,IF(C65=4,3,IF(C64=3,2))))</f>
        <v>3</v>
      </c>
      <c r="D77" s="45" t="str">
        <f>IF(C77&gt;0,VLOOKUP(C77,C62:E67,2,FALSE),"")</f>
        <v>愛工大付属</v>
      </c>
      <c r="E77" s="46" t="str">
        <f>IF(C77&gt;0,VLOOKUP(C77,C62:E67,3,FALSE),"")</f>
        <v>山口　倫生</v>
      </c>
      <c r="F77" s="8"/>
      <c r="G77" s="9"/>
      <c r="H77" s="9"/>
      <c r="I77" s="9"/>
      <c r="J77" s="9"/>
      <c r="K77" s="9"/>
      <c r="L77" s="9"/>
      <c r="M77" s="9"/>
      <c r="N77" s="9"/>
      <c r="O77" s="10"/>
    </row>
    <row r="78" spans="1:16" s="11" customFormat="1" ht="10.5">
      <c r="C78" s="49"/>
      <c r="D78" s="50"/>
      <c r="E78" s="51"/>
      <c r="F78" s="12"/>
      <c r="G78" s="12"/>
      <c r="H78" s="12"/>
      <c r="I78" s="12"/>
      <c r="J78" s="12"/>
      <c r="K78" s="12"/>
      <c r="L78" s="12"/>
      <c r="M78" s="12"/>
      <c r="N78" s="12"/>
      <c r="O78" s="13"/>
    </row>
    <row r="79" spans="1:16" s="1" customFormat="1">
      <c r="A79" s="1">
        <v>4</v>
      </c>
      <c r="C79" s="41">
        <f>IF(C67=6,5,IF(C66=5,2,IF(C65=4,2,IF(C64=3,0,0))))</f>
        <v>5</v>
      </c>
      <c r="D79" s="42" t="str">
        <f>IF(C79&gt;0,VLOOKUP(C79,C62:E67,2,FALSE),"")</f>
        <v>富山パレス</v>
      </c>
      <c r="E79" s="43" t="str">
        <f>IF(C79&gt;0,VLOOKUP(C79,C62:E67,3,FALSE),"")</f>
        <v>藤野　正真</v>
      </c>
      <c r="F79" s="5"/>
      <c r="G79" s="6"/>
      <c r="H79" s="6"/>
      <c r="I79" s="6"/>
      <c r="J79" s="6"/>
      <c r="K79" s="6"/>
      <c r="L79" s="6"/>
      <c r="M79" s="6"/>
      <c r="N79" s="6"/>
      <c r="O79" s="7"/>
    </row>
    <row r="80" spans="1:16" s="1" customFormat="1">
      <c r="C80" s="44">
        <f>IF(C67=6,6,IF(C66=5,3,IF(C65=4,4,IF(C64=3,0,0))))</f>
        <v>6</v>
      </c>
      <c r="D80" s="45" t="str">
        <f>IF(C80&gt;0,VLOOKUP(C80,C62:E67,2,FALSE),"")</f>
        <v>横浜フェンサーズ</v>
      </c>
      <c r="E80" s="46" t="str">
        <f>IF(C80&gt;0,VLOOKUP(C80,C62:E67,3,FALSE),"")</f>
        <v>柳原　健二郎</v>
      </c>
      <c r="F80" s="8"/>
      <c r="G80" s="9"/>
      <c r="H80" s="9"/>
      <c r="I80" s="9"/>
      <c r="J80" s="9"/>
      <c r="K80" s="9"/>
      <c r="L80" s="9"/>
      <c r="M80" s="9"/>
      <c r="N80" s="9"/>
      <c r="O80" s="10"/>
    </row>
    <row r="81" spans="1:15" s="11" customFormat="1" ht="10.5">
      <c r="C81" s="49"/>
      <c r="D81" s="50"/>
      <c r="E81" s="51"/>
      <c r="F81" s="12"/>
      <c r="G81" s="12"/>
      <c r="H81" s="12"/>
      <c r="I81" s="12"/>
      <c r="J81" s="12"/>
      <c r="K81" s="12"/>
      <c r="L81" s="12"/>
      <c r="M81" s="12"/>
      <c r="N81" s="12"/>
      <c r="O81" s="13"/>
    </row>
    <row r="82" spans="1:15" s="1" customFormat="1">
      <c r="A82" s="1">
        <v>5</v>
      </c>
      <c r="C82" s="41">
        <f>IF(C67=6,3,IF(C66=5,5,IF(C65=4,3,IF(C64=3,0,0))))</f>
        <v>3</v>
      </c>
      <c r="D82" s="42" t="str">
        <f>IF(C82&gt;0,VLOOKUP(C82,C62:E67,2,FALSE),"")</f>
        <v>愛工大付属</v>
      </c>
      <c r="E82" s="43" t="str">
        <f>IF(C82&gt;0,VLOOKUP(C82,C62:E67,3,FALSE),"")</f>
        <v>山口　倫生</v>
      </c>
      <c r="F82" s="5"/>
      <c r="G82" s="6"/>
      <c r="H82" s="6"/>
      <c r="I82" s="6"/>
      <c r="J82" s="6"/>
      <c r="K82" s="6"/>
      <c r="L82" s="6"/>
      <c r="M82" s="6"/>
      <c r="N82" s="6"/>
      <c r="O82" s="7"/>
    </row>
    <row r="83" spans="1:15" s="1" customFormat="1">
      <c r="C83" s="44">
        <f>IF(C67=6,1,IF(C66=5,4,IF(C65=4,4,IF(C64=3,0,0))))</f>
        <v>1</v>
      </c>
      <c r="D83" s="45" t="str">
        <f>IF(C83&gt;0,VLOOKUP(C83,C62:E67,2,FALSE),"")</f>
        <v>はしまモア</v>
      </c>
      <c r="E83" s="46" t="str">
        <f>IF(C83&gt;0,VLOOKUP(C83,C62:E67,3,FALSE),"")</f>
        <v>田内　稜大</v>
      </c>
      <c r="F83" s="8"/>
      <c r="G83" s="9"/>
      <c r="H83" s="9"/>
      <c r="I83" s="9"/>
      <c r="J83" s="9"/>
      <c r="K83" s="9"/>
      <c r="L83" s="9"/>
      <c r="M83" s="9"/>
      <c r="N83" s="9"/>
      <c r="O83" s="10"/>
    </row>
    <row r="84" spans="1:15" s="11" customFormat="1" ht="10.5">
      <c r="C84" s="49"/>
      <c r="D84" s="50"/>
      <c r="E84" s="51"/>
      <c r="F84" s="12"/>
      <c r="G84" s="12"/>
      <c r="H84" s="12"/>
      <c r="I84" s="12"/>
      <c r="J84" s="12"/>
      <c r="K84" s="12"/>
      <c r="L84" s="12"/>
      <c r="M84" s="12"/>
      <c r="N84" s="12"/>
      <c r="O84" s="13"/>
    </row>
    <row r="85" spans="1:15" s="1" customFormat="1">
      <c r="A85" s="1">
        <v>6</v>
      </c>
      <c r="C85" s="41">
        <f>IF(C67=6,6,IF(C66=5,1,IF(C65=4,1,IF(C64=3,0,0))))</f>
        <v>6</v>
      </c>
      <c r="D85" s="42" t="str">
        <f>IF(C85&gt;0,VLOOKUP(C85,C62:E67,2,FALSE),"")</f>
        <v>横浜フェンサーズ</v>
      </c>
      <c r="E85" s="43" t="str">
        <f>IF(C85&gt;0,VLOOKUP(C85,C62:E67,3,FALSE),"")</f>
        <v>柳原　健二郎</v>
      </c>
      <c r="F85" s="5"/>
      <c r="G85" s="6"/>
      <c r="H85" s="6"/>
      <c r="I85" s="6"/>
      <c r="J85" s="6"/>
      <c r="K85" s="6"/>
      <c r="L85" s="6"/>
      <c r="M85" s="6"/>
      <c r="N85" s="6"/>
      <c r="O85" s="7"/>
    </row>
    <row r="86" spans="1:15" s="1" customFormat="1">
      <c r="C86" s="44">
        <f>IF(C67=6,4,IF(C66=5,3,IF(C65=4,2,IF(C64=3,0,0))))</f>
        <v>4</v>
      </c>
      <c r="D86" s="45" t="str">
        <f>IF(C86&gt;0,VLOOKUP(C86,C62:E67,2,FALSE),"")</f>
        <v>南箕輪わくわく</v>
      </c>
      <c r="E86" s="46" t="str">
        <f>IF(C86&gt;0,VLOOKUP(C86,C62:E67,3,FALSE),"")</f>
        <v>保科　幸作</v>
      </c>
      <c r="F86" s="8"/>
      <c r="G86" s="9"/>
      <c r="H86" s="9"/>
      <c r="I86" s="9"/>
      <c r="J86" s="9"/>
      <c r="K86" s="9"/>
      <c r="L86" s="9"/>
      <c r="M86" s="9"/>
      <c r="N86" s="9"/>
      <c r="O86" s="10"/>
    </row>
    <row r="87" spans="1:15" s="11" customFormat="1" ht="10.5">
      <c r="C87" s="49"/>
      <c r="D87" s="50"/>
      <c r="E87" s="51"/>
      <c r="F87" s="12"/>
      <c r="G87" s="12"/>
      <c r="H87" s="12"/>
      <c r="I87" s="12"/>
      <c r="J87" s="12"/>
      <c r="K87" s="12"/>
      <c r="L87" s="12"/>
      <c r="M87" s="12"/>
      <c r="N87" s="12"/>
      <c r="O87" s="13"/>
    </row>
    <row r="88" spans="1:15" s="1" customFormat="1">
      <c r="A88" s="1">
        <v>7</v>
      </c>
      <c r="C88" s="41">
        <f>IF(C67=6,2,IF(C66=5,2,IF(C65=4,0,0)))</f>
        <v>2</v>
      </c>
      <c r="D88" s="42" t="str">
        <f>IF(C88&gt;0,VLOOKUP(C88,C62:E67,2,FALSE),"")</f>
        <v>速星中学校</v>
      </c>
      <c r="E88" s="43" t="str">
        <f>IF(C88&gt;0,VLOOKUP(C88,C62:E67,3,FALSE),"")</f>
        <v>廣野　惇奈</v>
      </c>
      <c r="F88" s="5"/>
      <c r="G88" s="6"/>
      <c r="H88" s="6"/>
      <c r="I88" s="6"/>
      <c r="J88" s="6"/>
      <c r="K88" s="6"/>
      <c r="L88" s="6"/>
      <c r="M88" s="6"/>
      <c r="N88" s="6"/>
      <c r="O88" s="7"/>
    </row>
    <row r="89" spans="1:15" s="1" customFormat="1">
      <c r="C89" s="44">
        <f>IF(C67=6,5,IF(C66=5,5,IF(C65=4,0,0)))</f>
        <v>5</v>
      </c>
      <c r="D89" s="45" t="str">
        <f>IF(C89&gt;0,VLOOKUP(C89,C62:E67,2,FALSE),"")</f>
        <v>富山パレス</v>
      </c>
      <c r="E89" s="46" t="str">
        <f>IF(C89&gt;0,VLOOKUP(C89,C62:E67,3,FALSE),"")</f>
        <v>藤野　正真</v>
      </c>
      <c r="F89" s="8"/>
      <c r="G89" s="9"/>
      <c r="H89" s="9"/>
      <c r="I89" s="9"/>
      <c r="J89" s="9"/>
      <c r="K89" s="9"/>
      <c r="L89" s="9"/>
      <c r="M89" s="9"/>
      <c r="N89" s="9"/>
      <c r="O89" s="10"/>
    </row>
    <row r="90" spans="1:15" s="11" customFormat="1" ht="10.5">
      <c r="C90" s="49"/>
      <c r="D90" s="50"/>
      <c r="E90" s="51"/>
      <c r="F90" s="12"/>
      <c r="G90" s="12"/>
      <c r="H90" s="12"/>
      <c r="I90" s="12"/>
      <c r="J90" s="12"/>
      <c r="K90" s="12"/>
      <c r="L90" s="12"/>
      <c r="M90" s="12"/>
      <c r="N90" s="12"/>
      <c r="O90" s="13"/>
    </row>
    <row r="91" spans="1:15" s="1" customFormat="1">
      <c r="A91" s="1">
        <v>8</v>
      </c>
      <c r="C91" s="41">
        <f>IF(C67=6,1,IF(C66=5,4,IF(C65=4,0,0)))</f>
        <v>1</v>
      </c>
      <c r="D91" s="42" t="str">
        <f>IF(C91&gt;0,VLOOKUP(C91,C62:E67,2,FALSE),"")</f>
        <v>はしまモア</v>
      </c>
      <c r="E91" s="43" t="str">
        <f>IF(C91&gt;0,VLOOKUP(C91,C62:E67,3,FALSE),"")</f>
        <v>田内　稜大</v>
      </c>
      <c r="F91" s="5"/>
      <c r="G91" s="6"/>
      <c r="H91" s="6"/>
      <c r="I91" s="6"/>
      <c r="J91" s="6"/>
      <c r="K91" s="6"/>
      <c r="L91" s="6"/>
      <c r="M91" s="6"/>
      <c r="N91" s="6"/>
      <c r="O91" s="7"/>
    </row>
    <row r="92" spans="1:15" s="1" customFormat="1">
      <c r="C92" s="44">
        <f>IF(C67=6,4,IF(C66=5,1,IF(C65=4,0,0)))</f>
        <v>4</v>
      </c>
      <c r="D92" s="45" t="str">
        <f>IF(C92&gt;0,VLOOKUP(C92,C62:E67,2,FALSE),"")</f>
        <v>南箕輪わくわく</v>
      </c>
      <c r="E92" s="46" t="str">
        <f>IF(C92&gt;0,VLOOKUP(C92,C62:E67,3,FALSE),"")</f>
        <v>保科　幸作</v>
      </c>
      <c r="F92" s="8"/>
      <c r="G92" s="9"/>
      <c r="H92" s="9"/>
      <c r="I92" s="9"/>
      <c r="J92" s="9"/>
      <c r="K92" s="9"/>
      <c r="L92" s="9"/>
      <c r="M92" s="9"/>
      <c r="N92" s="9"/>
      <c r="O92" s="10"/>
    </row>
    <row r="93" spans="1:15" s="11" customFormat="1" ht="10.5">
      <c r="C93" s="49"/>
      <c r="D93" s="50"/>
      <c r="E93" s="51"/>
      <c r="F93" s="12"/>
      <c r="G93" s="12"/>
      <c r="H93" s="12"/>
      <c r="I93" s="12"/>
      <c r="J93" s="12"/>
      <c r="K93" s="12"/>
      <c r="L93" s="12"/>
      <c r="M93" s="12"/>
      <c r="N93" s="12"/>
      <c r="O93" s="13"/>
    </row>
    <row r="94" spans="1:15" s="1" customFormat="1">
      <c r="A94" s="1">
        <v>9</v>
      </c>
      <c r="C94" s="41">
        <f>IF(C67=6,5,IF(C66=5,3,IF(C65=4,0,0)))</f>
        <v>5</v>
      </c>
      <c r="D94" s="42" t="str">
        <f>IF(C94&gt;0,VLOOKUP(C94,C62:E67,2,FALSE),"")</f>
        <v>富山パレス</v>
      </c>
      <c r="E94" s="43" t="str">
        <f>IF(C94&gt;0,VLOOKUP(C94,C62:E67,3,FALSE),"")</f>
        <v>藤野　正真</v>
      </c>
      <c r="F94" s="5"/>
      <c r="G94" s="6"/>
      <c r="H94" s="6"/>
      <c r="I94" s="6"/>
      <c r="J94" s="6"/>
      <c r="K94" s="6"/>
      <c r="L94" s="6"/>
      <c r="M94" s="6"/>
      <c r="N94" s="6"/>
      <c r="O94" s="7"/>
    </row>
    <row r="95" spans="1:15" s="1" customFormat="1">
      <c r="C95" s="44">
        <f>IF(C67=6,3,IF(C66=5,5,IF(C65=4,0,0)))</f>
        <v>3</v>
      </c>
      <c r="D95" s="45" t="str">
        <f>IF(C95&gt;0,VLOOKUP(C95,C62:E67,2,FALSE),"")</f>
        <v>愛工大付属</v>
      </c>
      <c r="E95" s="46" t="str">
        <f>IF(C95&gt;0,VLOOKUP(C95,C62:E67,3,FALSE),"")</f>
        <v>山口　倫生</v>
      </c>
      <c r="F95" s="8"/>
      <c r="G95" s="9"/>
      <c r="H95" s="9"/>
      <c r="I95" s="9"/>
      <c r="J95" s="9"/>
      <c r="K95" s="9"/>
      <c r="L95" s="9"/>
      <c r="M95" s="9"/>
      <c r="N95" s="9"/>
      <c r="O95" s="10"/>
    </row>
    <row r="96" spans="1:15" s="11" customFormat="1" ht="10.5">
      <c r="C96" s="49"/>
      <c r="D96" s="50"/>
      <c r="E96" s="51"/>
      <c r="F96" s="12"/>
      <c r="G96" s="12"/>
      <c r="H96" s="12"/>
      <c r="I96" s="12"/>
      <c r="J96" s="12"/>
      <c r="K96" s="12"/>
      <c r="L96" s="12"/>
      <c r="M96" s="12"/>
      <c r="N96" s="12"/>
      <c r="O96" s="13"/>
    </row>
    <row r="97" spans="1:15" s="1" customFormat="1">
      <c r="A97" s="1">
        <v>10</v>
      </c>
      <c r="C97" s="41">
        <f>IF(C67=6,1,IF(C66=5,4,IF(C65=4,0,0)))</f>
        <v>1</v>
      </c>
      <c r="D97" s="42" t="str">
        <f>IF(C97&gt;0,VLOOKUP(C97,C62:E67,2,FALSE),"")</f>
        <v>はしまモア</v>
      </c>
      <c r="E97" s="43" t="str">
        <f>IF(C97&gt;0,VLOOKUP(C97,C62:E67,3,FALSE),"")</f>
        <v>田内　稜大</v>
      </c>
      <c r="F97" s="5"/>
      <c r="G97" s="6"/>
      <c r="H97" s="6"/>
      <c r="I97" s="6"/>
      <c r="J97" s="6"/>
      <c r="K97" s="6"/>
      <c r="L97" s="6"/>
      <c r="M97" s="6"/>
      <c r="N97" s="6"/>
      <c r="O97" s="7"/>
    </row>
    <row r="98" spans="1:15" s="1" customFormat="1">
      <c r="C98" s="44">
        <f>IF(C67=6,6,IF(C66=5,2,IF(C65=4,0,0)))</f>
        <v>6</v>
      </c>
      <c r="D98" s="45" t="str">
        <f>IF(C98&gt;0,VLOOKUP(C98,C62:E67,2,FALSE),"")</f>
        <v>横浜フェンサーズ</v>
      </c>
      <c r="E98" s="46" t="str">
        <f>IF(C98&gt;0,VLOOKUP(C98,C62:E67,3,FALSE),"")</f>
        <v>柳原　健二郎</v>
      </c>
      <c r="F98" s="8"/>
      <c r="G98" s="9"/>
      <c r="H98" s="9"/>
      <c r="I98" s="9"/>
      <c r="J98" s="9"/>
      <c r="K98" s="9"/>
      <c r="L98" s="9"/>
      <c r="M98" s="9"/>
      <c r="N98" s="9"/>
      <c r="O98" s="10"/>
    </row>
    <row r="99" spans="1:15" s="11" customFormat="1" ht="10.5">
      <c r="C99" s="49"/>
      <c r="D99" s="50"/>
      <c r="E99" s="51"/>
      <c r="F99" s="12"/>
      <c r="G99" s="12"/>
      <c r="H99" s="12"/>
      <c r="I99" s="12"/>
      <c r="J99" s="12"/>
      <c r="K99" s="12"/>
      <c r="L99" s="12"/>
      <c r="M99" s="12"/>
      <c r="N99" s="12"/>
      <c r="O99" s="13"/>
    </row>
    <row r="100" spans="1:15" s="1" customFormat="1">
      <c r="A100" s="1">
        <v>11</v>
      </c>
      <c r="C100" s="41">
        <f>IF(C67=6,4,0)</f>
        <v>4</v>
      </c>
      <c r="D100" s="42" t="str">
        <f>IF(C100&gt;0,VLOOKUP(C100,C62:E67,2,FALSE),"")</f>
        <v>南箕輪わくわく</v>
      </c>
      <c r="E100" s="43" t="str">
        <f>IF(C100&gt;0,VLOOKUP(C100,C62:E67,3,FALSE),"")</f>
        <v>保科　幸作</v>
      </c>
      <c r="F100" s="5"/>
      <c r="G100" s="6"/>
      <c r="H100" s="6"/>
      <c r="I100" s="6"/>
      <c r="J100" s="6"/>
      <c r="K100" s="6"/>
      <c r="L100" s="6"/>
      <c r="M100" s="6"/>
      <c r="N100" s="6"/>
      <c r="O100" s="7"/>
    </row>
    <row r="101" spans="1:15" s="1" customFormat="1">
      <c r="C101" s="44">
        <f>IF(C67=6,2,0)</f>
        <v>2</v>
      </c>
      <c r="D101" s="45" t="str">
        <f>IF(C101&gt;0,VLOOKUP(C101,C62:E67,2,FALSE),"")</f>
        <v>速星中学校</v>
      </c>
      <c r="E101" s="46" t="str">
        <f>IF(C101&gt;0,VLOOKUP(C101,C62:E67,3,FALSE),"")</f>
        <v>廣野　惇奈</v>
      </c>
      <c r="F101" s="8"/>
      <c r="G101" s="9"/>
      <c r="H101" s="9"/>
      <c r="I101" s="9"/>
      <c r="J101" s="9"/>
      <c r="K101" s="9"/>
      <c r="L101" s="9"/>
      <c r="M101" s="9"/>
      <c r="N101" s="9"/>
      <c r="O101" s="10"/>
    </row>
    <row r="102" spans="1:15" s="11" customFormat="1" ht="10.5">
      <c r="C102" s="49"/>
      <c r="D102" s="50"/>
      <c r="E102" s="51"/>
      <c r="F102" s="12"/>
      <c r="G102" s="12"/>
      <c r="H102" s="12"/>
      <c r="I102" s="12"/>
      <c r="J102" s="12"/>
      <c r="K102" s="12"/>
      <c r="L102" s="12"/>
      <c r="M102" s="12"/>
      <c r="N102" s="12"/>
      <c r="O102" s="13"/>
    </row>
    <row r="103" spans="1:15" s="1" customFormat="1">
      <c r="A103" s="1">
        <v>12</v>
      </c>
      <c r="C103" s="41">
        <f>IF(C67=6,3,0)</f>
        <v>3</v>
      </c>
      <c r="D103" s="42" t="str">
        <f>IF(C103&gt;0,VLOOKUP(C103,C62:E67,2,FALSE),"")</f>
        <v>愛工大付属</v>
      </c>
      <c r="E103" s="43" t="str">
        <f>IF(C103&gt;0,VLOOKUP(C103,C62:E67,3,FALSE),"")</f>
        <v>山口　倫生</v>
      </c>
      <c r="F103" s="5"/>
      <c r="G103" s="6"/>
      <c r="H103" s="6"/>
      <c r="I103" s="6"/>
      <c r="J103" s="6"/>
      <c r="K103" s="6"/>
      <c r="L103" s="6"/>
      <c r="M103" s="6"/>
      <c r="N103" s="6"/>
      <c r="O103" s="7"/>
    </row>
    <row r="104" spans="1:15" s="1" customFormat="1" ht="13.5" customHeight="1">
      <c r="C104" s="44">
        <f>IF(C67=6,6,0)</f>
        <v>6</v>
      </c>
      <c r="D104" s="45" t="str">
        <f>IF(C104&gt;0,VLOOKUP(C104,C62:E67,2,FALSE),"")</f>
        <v>横浜フェンサーズ</v>
      </c>
      <c r="E104" s="46" t="str">
        <f>IF(C104&gt;0,VLOOKUP(C104,C62:E67,3,FALSE),"")</f>
        <v>柳原　健二郎</v>
      </c>
      <c r="F104" s="8"/>
      <c r="G104" s="9"/>
      <c r="H104" s="9"/>
      <c r="I104" s="9"/>
      <c r="J104" s="9"/>
      <c r="K104" s="9"/>
      <c r="L104" s="9"/>
      <c r="M104" s="9"/>
      <c r="N104" s="9"/>
      <c r="O104" s="10"/>
    </row>
    <row r="105" spans="1:15" s="11" customFormat="1" ht="10.5">
      <c r="C105" s="49"/>
      <c r="D105" s="50"/>
      <c r="E105" s="51"/>
      <c r="F105" s="12"/>
      <c r="G105" s="12"/>
      <c r="H105" s="12"/>
      <c r="I105" s="12"/>
      <c r="J105" s="12"/>
      <c r="K105" s="12"/>
      <c r="L105" s="12"/>
      <c r="M105" s="12"/>
      <c r="N105" s="12"/>
      <c r="O105" s="13"/>
    </row>
    <row r="106" spans="1:15" s="1" customFormat="1">
      <c r="A106" s="1">
        <v>13</v>
      </c>
      <c r="C106" s="41">
        <f>IF(C67=6,5,0)</f>
        <v>5</v>
      </c>
      <c r="D106" s="42" t="str">
        <f>IF(C106&gt;0,VLOOKUP(C106,C62:E67,2,FALSE),"")</f>
        <v>富山パレス</v>
      </c>
      <c r="E106" s="43" t="str">
        <f>IF(C106&gt;0,VLOOKUP(C106,C62:E67,3,FALSE),"")</f>
        <v>藤野　正真</v>
      </c>
      <c r="F106" s="5"/>
      <c r="G106" s="6"/>
      <c r="H106" s="6"/>
      <c r="I106" s="6"/>
      <c r="J106" s="6"/>
      <c r="K106" s="6"/>
      <c r="L106" s="6"/>
      <c r="M106" s="6"/>
      <c r="N106" s="6"/>
      <c r="O106" s="7"/>
    </row>
    <row r="107" spans="1:15" s="1" customFormat="1">
      <c r="C107" s="44">
        <f>IF(C67=6,1,0)</f>
        <v>1</v>
      </c>
      <c r="D107" s="45" t="str">
        <f>IF(C107&gt;0,VLOOKUP(C107,C62:E67,2,FALSE),"")</f>
        <v>はしまモア</v>
      </c>
      <c r="E107" s="46" t="str">
        <f>IF(C107&gt;0,VLOOKUP(C107,C62:E67,3,FALSE),"")</f>
        <v>田内　稜大</v>
      </c>
      <c r="F107" s="8"/>
      <c r="G107" s="9"/>
      <c r="H107" s="9"/>
      <c r="I107" s="9"/>
      <c r="J107" s="9"/>
      <c r="K107" s="9"/>
      <c r="L107" s="9"/>
      <c r="M107" s="9"/>
      <c r="N107" s="9"/>
      <c r="O107" s="10"/>
    </row>
    <row r="108" spans="1:15" s="11" customFormat="1" ht="10.5">
      <c r="C108" s="49"/>
      <c r="D108" s="50"/>
      <c r="E108" s="51"/>
      <c r="F108" s="12"/>
      <c r="G108" s="12"/>
      <c r="H108" s="12"/>
      <c r="I108" s="12"/>
      <c r="J108" s="12"/>
      <c r="K108" s="12"/>
      <c r="L108" s="12"/>
      <c r="M108" s="12"/>
      <c r="N108" s="12"/>
      <c r="O108" s="13"/>
    </row>
    <row r="109" spans="1:15" s="1" customFormat="1">
      <c r="A109" s="1">
        <v>14</v>
      </c>
      <c r="C109" s="41">
        <f>IF(C67=6,3,0)</f>
        <v>3</v>
      </c>
      <c r="D109" s="42" t="str">
        <f>IF(C109&gt;0,VLOOKUP(C109,C62:E67,2,FALSE),"")</f>
        <v>愛工大付属</v>
      </c>
      <c r="E109" s="43" t="str">
        <f>IF(C109&gt;0,VLOOKUP(C109,C62:E67,3,FALSE),"")</f>
        <v>山口　倫生</v>
      </c>
      <c r="F109" s="5"/>
      <c r="G109" s="6"/>
      <c r="H109" s="6"/>
      <c r="I109" s="6"/>
      <c r="J109" s="6"/>
      <c r="K109" s="6"/>
      <c r="L109" s="6"/>
      <c r="M109" s="6"/>
      <c r="N109" s="6"/>
      <c r="O109" s="7"/>
    </row>
    <row r="110" spans="1:15" s="1" customFormat="1">
      <c r="C110" s="44">
        <f>IF(C67=6,4,0)</f>
        <v>4</v>
      </c>
      <c r="D110" s="45" t="str">
        <f>IF(C110&gt;0,VLOOKUP(C110,C62:E67,2,FALSE),"")</f>
        <v>南箕輪わくわく</v>
      </c>
      <c r="E110" s="46" t="str">
        <f>IF(C110&gt;0,VLOOKUP(C110,C62:E67,3,FALSE),"")</f>
        <v>保科　幸作</v>
      </c>
      <c r="F110" s="8"/>
      <c r="G110" s="9"/>
      <c r="H110" s="9"/>
      <c r="I110" s="9"/>
      <c r="J110" s="9"/>
      <c r="K110" s="9"/>
      <c r="L110" s="9"/>
      <c r="M110" s="9"/>
      <c r="N110" s="9"/>
      <c r="O110" s="10"/>
    </row>
    <row r="111" spans="1:15" s="11" customFormat="1" ht="10.5">
      <c r="C111" s="49"/>
      <c r="D111" s="50"/>
      <c r="E111" s="51"/>
      <c r="F111" s="12"/>
      <c r="G111" s="12"/>
      <c r="H111" s="12"/>
      <c r="I111" s="12"/>
      <c r="J111" s="12"/>
      <c r="K111" s="12"/>
      <c r="L111" s="12"/>
      <c r="M111" s="12"/>
      <c r="N111" s="12"/>
      <c r="O111" s="13"/>
    </row>
    <row r="112" spans="1:15" s="1" customFormat="1">
      <c r="A112" s="1">
        <v>15</v>
      </c>
      <c r="C112" s="41">
        <f>IF(C67=6,6,0)</f>
        <v>6</v>
      </c>
      <c r="D112" s="42" t="str">
        <f>IF(C112&gt;0,VLOOKUP(C112,C62:E67,2,FALSE),"")</f>
        <v>横浜フェンサーズ</v>
      </c>
      <c r="E112" s="43" t="str">
        <f>IF(C112&gt;0,VLOOKUP(C112,C62:E67,3,FALSE),"")</f>
        <v>柳原　健二郎</v>
      </c>
      <c r="F112" s="5"/>
      <c r="G112" s="6"/>
      <c r="H112" s="6"/>
      <c r="I112" s="6"/>
      <c r="J112" s="6"/>
      <c r="K112" s="6"/>
      <c r="L112" s="6"/>
      <c r="M112" s="6"/>
      <c r="N112" s="6"/>
      <c r="O112" s="7"/>
    </row>
    <row r="113" spans="1:16" s="1" customFormat="1">
      <c r="C113" s="44">
        <f>IF(C67=6,2,0)</f>
        <v>2</v>
      </c>
      <c r="D113" s="45" t="str">
        <f>IF(C113&gt;0,VLOOKUP(C113,C62:E67,2,FALSE),"")</f>
        <v>速星中学校</v>
      </c>
      <c r="E113" s="46" t="str">
        <f>IF(C113&gt;0,VLOOKUP(C113,C62:E67,3,FALSE),"")</f>
        <v>廣野　惇奈</v>
      </c>
      <c r="F113" s="8"/>
      <c r="G113" s="9"/>
      <c r="H113" s="9"/>
      <c r="I113" s="9"/>
      <c r="J113" s="9"/>
      <c r="K113" s="9"/>
      <c r="L113" s="9"/>
      <c r="M113" s="9"/>
      <c r="N113" s="9"/>
      <c r="O113" s="10"/>
    </row>
    <row r="114" spans="1:16" s="104" customFormat="1" ht="10.5">
      <c r="C114" s="107"/>
      <c r="D114" s="52"/>
      <c r="E114" s="53"/>
      <c r="F114" s="108"/>
      <c r="G114" s="108"/>
      <c r="H114" s="108"/>
      <c r="I114" s="108"/>
      <c r="J114" s="108"/>
      <c r="K114" s="108"/>
      <c r="L114" s="108"/>
      <c r="M114" s="108"/>
      <c r="N114" s="108"/>
      <c r="O114" s="109"/>
    </row>
    <row r="115" spans="1:16" s="57" customFormat="1" ht="17.25">
      <c r="A115" s="321" t="str">
        <f>名簿!$A$1</f>
        <v>第9回川本杯はしまモアフェンシング大会</v>
      </c>
      <c r="B115" s="321"/>
      <c r="C115" s="321"/>
      <c r="D115" s="321"/>
      <c r="E115" s="321"/>
      <c r="F115" s="321"/>
      <c r="G115" s="321"/>
      <c r="H115" s="321"/>
      <c r="I115" s="321"/>
      <c r="J115" s="321"/>
      <c r="K115" s="268" t="s">
        <v>72</v>
      </c>
      <c r="L115" s="322" t="s">
        <v>73</v>
      </c>
      <c r="M115" s="322"/>
      <c r="N115" s="322"/>
      <c r="O115" s="323"/>
    </row>
    <row r="116" spans="1:16" s="58" customFormat="1" ht="14.25">
      <c r="A116" s="318" t="str">
        <f>"　"&amp;名簿!$A$2</f>
        <v>　中学男子</v>
      </c>
      <c r="B116" s="318"/>
      <c r="C116" s="318"/>
      <c r="D116" s="318"/>
      <c r="E116" s="318"/>
      <c r="F116" s="318"/>
      <c r="G116" s="318"/>
      <c r="H116" s="318"/>
      <c r="I116" s="318"/>
      <c r="J116" s="318"/>
      <c r="K116" s="269"/>
      <c r="L116" s="319" t="s">
        <v>74</v>
      </c>
      <c r="M116" s="319"/>
      <c r="N116" s="319"/>
      <c r="O116" s="320"/>
    </row>
    <row r="117" spans="1:16" s="58" customFormat="1" ht="14.25">
      <c r="A117" s="314" t="str">
        <f>"　　"&amp;名簿!$A$3</f>
        <v>　　1回戦</v>
      </c>
      <c r="B117" s="314"/>
      <c r="C117" s="314"/>
      <c r="D117" s="314"/>
      <c r="E117" s="314"/>
      <c r="K117" s="315">
        <f>名簿!$E$3</f>
        <v>43184</v>
      </c>
      <c r="L117" s="315"/>
      <c r="M117" s="315"/>
      <c r="N117" s="315"/>
      <c r="O117" s="315"/>
    </row>
    <row r="118" spans="1:16">
      <c r="A118" s="59" t="s">
        <v>57</v>
      </c>
      <c r="B118" s="60" t="s">
        <v>13</v>
      </c>
      <c r="C118" s="61" t="s">
        <v>0</v>
      </c>
      <c r="D118" s="62" t="s">
        <v>7</v>
      </c>
      <c r="E118" s="63" t="s">
        <v>8</v>
      </c>
      <c r="F118" s="64">
        <v>1</v>
      </c>
      <c r="G118" s="65">
        <v>2</v>
      </c>
      <c r="H118" s="65">
        <v>3</v>
      </c>
      <c r="I118" s="65">
        <v>4</v>
      </c>
      <c r="J118" s="65">
        <v>5</v>
      </c>
      <c r="K118" s="66">
        <v>6</v>
      </c>
      <c r="L118" s="67" t="s">
        <v>58</v>
      </c>
      <c r="M118" s="68" t="s">
        <v>59</v>
      </c>
      <c r="N118" s="316" t="s">
        <v>6</v>
      </c>
      <c r="O118" s="317"/>
      <c r="P118" s="69"/>
    </row>
    <row r="119" spans="1:16" ht="18" customHeight="1">
      <c r="A119" s="71">
        <f>'予選 Ｐ'!A17</f>
        <v>3</v>
      </c>
      <c r="B119" s="72">
        <f>'予選 Ｐ'!B17</f>
        <v>3</v>
      </c>
      <c r="C119" s="73">
        <f>'予選 Ｐ'!C17</f>
        <v>1</v>
      </c>
      <c r="D119" s="34" t="str">
        <f>'予選 Ｐ'!E17</f>
        <v>はしまモア</v>
      </c>
      <c r="E119" s="35" t="str">
        <f>'予選 Ｐ'!F17</f>
        <v>河村　一摩</v>
      </c>
      <c r="F119" s="74"/>
      <c r="G119" s="75"/>
      <c r="H119" s="75"/>
      <c r="I119" s="75"/>
      <c r="J119" s="75"/>
      <c r="K119" s="76"/>
      <c r="L119" s="77"/>
      <c r="M119" s="78"/>
      <c r="N119" s="79"/>
      <c r="O119" s="80"/>
      <c r="P119" s="81"/>
    </row>
    <row r="120" spans="1:16" ht="18" customHeight="1">
      <c r="A120" s="82">
        <f>'予選 Ｐ'!A18</f>
        <v>3</v>
      </c>
      <c r="B120" s="83">
        <f>'予選 Ｐ'!B18</f>
        <v>21</v>
      </c>
      <c r="C120" s="84">
        <f>'予選 Ｐ'!C18</f>
        <v>2</v>
      </c>
      <c r="D120" s="36" t="str">
        <f>'予選 Ｐ'!E18</f>
        <v>速星中学校</v>
      </c>
      <c r="E120" s="35" t="str">
        <f>'予選 Ｐ'!F18</f>
        <v>細川　唯人</v>
      </c>
      <c r="F120" s="85"/>
      <c r="G120" s="86"/>
      <c r="H120" s="87"/>
      <c r="I120" s="87"/>
      <c r="J120" s="87"/>
      <c r="K120" s="88"/>
      <c r="L120" s="89"/>
      <c r="M120" s="90"/>
      <c r="N120" s="91"/>
      <c r="O120" s="92"/>
      <c r="P120" s="81"/>
    </row>
    <row r="121" spans="1:16" ht="18" customHeight="1">
      <c r="A121" s="82">
        <f>'予選 Ｐ'!A19</f>
        <v>3</v>
      </c>
      <c r="B121" s="83">
        <f>'予選 Ｐ'!B19</f>
        <v>30</v>
      </c>
      <c r="C121" s="84">
        <f>'予選 Ｐ'!C19</f>
        <v>3</v>
      </c>
      <c r="D121" s="36" t="str">
        <f>'予選 Ｐ'!E19</f>
        <v>愛工大付属</v>
      </c>
      <c r="E121" s="35" t="str">
        <f>'予選 Ｐ'!F19</f>
        <v>伊藤　真吾</v>
      </c>
      <c r="F121" s="85"/>
      <c r="G121" s="87"/>
      <c r="H121" s="86"/>
      <c r="I121" s="87"/>
      <c r="J121" s="87"/>
      <c r="K121" s="88"/>
      <c r="L121" s="89"/>
      <c r="M121" s="90"/>
      <c r="N121" s="91"/>
      <c r="O121" s="92"/>
      <c r="P121" s="81"/>
    </row>
    <row r="122" spans="1:16" ht="18" customHeight="1">
      <c r="A122" s="82">
        <f>'予選 Ｐ'!A20</f>
        <v>3</v>
      </c>
      <c r="B122" s="83">
        <f>IF('予選 Ｐ'!B20="","",'予選 Ｐ'!B20)</f>
        <v>39</v>
      </c>
      <c r="C122" s="84">
        <f>'予選 Ｐ'!C20</f>
        <v>4</v>
      </c>
      <c r="D122" s="36" t="str">
        <f>'予選 Ｐ'!E20</f>
        <v>富山パレス</v>
      </c>
      <c r="E122" s="35" t="str">
        <f>'予選 Ｐ'!F20</f>
        <v>高畠　龍斗</v>
      </c>
      <c r="F122" s="85"/>
      <c r="G122" s="87"/>
      <c r="H122" s="87"/>
      <c r="I122" s="86"/>
      <c r="J122" s="87"/>
      <c r="K122" s="88"/>
      <c r="L122" s="89"/>
      <c r="M122" s="90"/>
      <c r="N122" s="91"/>
      <c r="O122" s="92"/>
      <c r="P122" s="81"/>
    </row>
    <row r="123" spans="1:16" ht="18" customHeight="1">
      <c r="A123" s="82">
        <f>'予選 Ｐ'!A21</f>
        <v>3</v>
      </c>
      <c r="B123" s="83">
        <f>IF('予選 Ｐ'!B21="","",'予選 Ｐ'!B21)</f>
        <v>48</v>
      </c>
      <c r="C123" s="84">
        <f>'予選 Ｐ'!C21</f>
        <v>5</v>
      </c>
      <c r="D123" s="36" t="str">
        <f>'予選 Ｐ'!E21</f>
        <v>はしまモア</v>
      </c>
      <c r="E123" s="35" t="str">
        <f>'予選 Ｐ'!F21</f>
        <v>大橋　拓叶</v>
      </c>
      <c r="F123" s="85"/>
      <c r="G123" s="87"/>
      <c r="H123" s="87"/>
      <c r="I123" s="87"/>
      <c r="J123" s="86"/>
      <c r="K123" s="88"/>
      <c r="L123" s="89"/>
      <c r="M123" s="90"/>
      <c r="N123" s="91"/>
      <c r="O123" s="92"/>
      <c r="P123" s="81"/>
    </row>
    <row r="124" spans="1:16" ht="18" customHeight="1">
      <c r="A124" s="93" t="str">
        <f>'予選 Ｐ'!A22</f>
        <v/>
      </c>
      <c r="B124" s="94" t="str">
        <f>IF('予選 Ｐ'!B22="","",'予選 Ｐ'!B22)</f>
        <v/>
      </c>
      <c r="C124" s="95" t="str">
        <f>'予選 Ｐ'!C22</f>
        <v/>
      </c>
      <c r="D124" s="37" t="str">
        <f>'予選 Ｐ'!E22</f>
        <v/>
      </c>
      <c r="E124" s="96" t="str">
        <f>'予選 Ｐ'!F22</f>
        <v/>
      </c>
      <c r="F124" s="97"/>
      <c r="G124" s="98"/>
      <c r="H124" s="98"/>
      <c r="I124" s="98"/>
      <c r="J124" s="98"/>
      <c r="K124" s="99"/>
      <c r="L124" s="100"/>
      <c r="M124" s="101"/>
      <c r="N124" s="102"/>
      <c r="O124" s="103"/>
      <c r="P124" s="81"/>
    </row>
    <row r="125" spans="1:16" s="104" customFormat="1" ht="10.5">
      <c r="D125" s="105"/>
      <c r="E125" s="106"/>
    </row>
    <row r="126" spans="1:16" s="1" customFormat="1">
      <c r="C126" s="38" t="s">
        <v>37</v>
      </c>
      <c r="D126" s="39" t="s">
        <v>16</v>
      </c>
      <c r="E126" s="40" t="s">
        <v>8</v>
      </c>
      <c r="F126" s="2">
        <v>1</v>
      </c>
      <c r="G126" s="3">
        <v>2</v>
      </c>
      <c r="H126" s="3">
        <v>3</v>
      </c>
      <c r="I126" s="3">
        <v>4</v>
      </c>
      <c r="J126" s="3">
        <v>5</v>
      </c>
      <c r="K126" s="3">
        <v>6</v>
      </c>
      <c r="L126" s="3">
        <v>7</v>
      </c>
      <c r="M126" s="3">
        <v>8</v>
      </c>
      <c r="N126" s="3">
        <v>9</v>
      </c>
      <c r="O126" s="4" t="s">
        <v>5</v>
      </c>
    </row>
    <row r="127" spans="1:16" s="1" customFormat="1">
      <c r="A127" s="1">
        <v>1</v>
      </c>
      <c r="C127" s="41">
        <v>1</v>
      </c>
      <c r="D127" s="42" t="str">
        <f>IF(C127&gt;0,VLOOKUP(C127,C119:E124,2,FALSE),"")</f>
        <v>はしまモア</v>
      </c>
      <c r="E127" s="43" t="str">
        <f>IF(C127&gt;0,VLOOKUP(C127,C119:E124,3,FALSE),"")</f>
        <v>河村　一摩</v>
      </c>
      <c r="F127" s="5"/>
      <c r="G127" s="6"/>
      <c r="H127" s="6"/>
      <c r="I127" s="6"/>
      <c r="J127" s="6"/>
      <c r="K127" s="6"/>
      <c r="L127" s="6"/>
      <c r="M127" s="6"/>
      <c r="N127" s="6"/>
      <c r="O127" s="7"/>
    </row>
    <row r="128" spans="1:16" s="1" customFormat="1">
      <c r="C128" s="44">
        <f>IF(C124=6,2,IF(C123=5,2,IF(C122=4,4,IF(C121=3,3))))</f>
        <v>2</v>
      </c>
      <c r="D128" s="45" t="str">
        <f>IF(C128&gt;0,VLOOKUP(C128,C119:E124,2,FALSE),"")</f>
        <v>速星中学校</v>
      </c>
      <c r="E128" s="46" t="str">
        <f>IF(C128&gt;0,VLOOKUP(C128,C119:E124,3,FALSE),"")</f>
        <v>細川　唯人</v>
      </c>
      <c r="F128" s="8"/>
      <c r="G128" s="9"/>
      <c r="H128" s="9"/>
      <c r="I128" s="9"/>
      <c r="J128" s="9"/>
      <c r="K128" s="9"/>
      <c r="L128" s="9"/>
      <c r="M128" s="9"/>
      <c r="N128" s="9"/>
      <c r="O128" s="10"/>
    </row>
    <row r="129" spans="1:15" s="11" customFormat="1" ht="10.5">
      <c r="D129" s="47"/>
      <c r="E129" s="48"/>
    </row>
    <row r="130" spans="1:15" s="1" customFormat="1">
      <c r="A130" s="1">
        <v>2</v>
      </c>
      <c r="C130" s="41">
        <f>IF(C124=6,4,IF(C123=5,3,IF(C122=4,2,IF(C121=3,2))))</f>
        <v>3</v>
      </c>
      <c r="D130" s="42" t="str">
        <f>IF(C130&gt;0,VLOOKUP(C130,C119:E124,2,FALSE),"")</f>
        <v>愛工大付属</v>
      </c>
      <c r="E130" s="43" t="str">
        <f>IF(C130&gt;0,VLOOKUP(C130,C119:E124,3,FALSE),"")</f>
        <v>伊藤　真吾</v>
      </c>
      <c r="F130" s="5"/>
      <c r="G130" s="6"/>
      <c r="H130" s="6"/>
      <c r="I130" s="6"/>
      <c r="J130" s="6"/>
      <c r="K130" s="6"/>
      <c r="L130" s="6"/>
      <c r="M130" s="6"/>
      <c r="N130" s="6"/>
      <c r="O130" s="7"/>
    </row>
    <row r="131" spans="1:15" s="1" customFormat="1">
      <c r="C131" s="44">
        <f>IF(C124=6,5,IF(C123=5,4,IF(C122=4,3,IF(C121=3,3))))</f>
        <v>4</v>
      </c>
      <c r="D131" s="45" t="str">
        <f>IF(C131&gt;0,VLOOKUP(C131,C119:E124,2,FALSE),"")</f>
        <v>富山パレス</v>
      </c>
      <c r="E131" s="46" t="str">
        <f>IF(C131&gt;0,VLOOKUP(C131,C119:E124,3,FALSE),"")</f>
        <v>高畠　龍斗</v>
      </c>
      <c r="F131" s="8"/>
      <c r="G131" s="9"/>
      <c r="H131" s="9"/>
      <c r="I131" s="9"/>
      <c r="J131" s="9"/>
      <c r="K131" s="9"/>
      <c r="L131" s="9"/>
      <c r="M131" s="9"/>
      <c r="N131" s="9"/>
      <c r="O131" s="10"/>
    </row>
    <row r="132" spans="1:15" s="11" customFormat="1" ht="10.5">
      <c r="D132" s="47"/>
      <c r="E132" s="48"/>
    </row>
    <row r="133" spans="1:15" s="1" customFormat="1">
      <c r="A133" s="1">
        <v>3</v>
      </c>
      <c r="C133" s="41">
        <f>IF(C124=6,2,IF(C123=5,5,IF(C122=4,1,IF(C121=3,1))))</f>
        <v>5</v>
      </c>
      <c r="D133" s="42" t="str">
        <f>IF(C133&gt;0,VLOOKUP(C133,C119:E124,2,FALSE),"")</f>
        <v>はしまモア</v>
      </c>
      <c r="E133" s="43" t="str">
        <f>IF(C133&gt;0,VLOOKUP(C133,C119:E124,3,FALSE),"")</f>
        <v>大橋　拓叶</v>
      </c>
      <c r="F133" s="5"/>
      <c r="G133" s="6"/>
      <c r="H133" s="6"/>
      <c r="I133" s="6"/>
      <c r="J133" s="6"/>
      <c r="K133" s="6"/>
      <c r="L133" s="6"/>
      <c r="M133" s="6"/>
      <c r="N133" s="6"/>
      <c r="O133" s="7"/>
    </row>
    <row r="134" spans="1:15" s="1" customFormat="1">
      <c r="C134" s="44">
        <f>IF(C124=6,3,IF(C123=5,1,IF(C122=4,3,IF(C121=3,2))))</f>
        <v>1</v>
      </c>
      <c r="D134" s="45" t="str">
        <f>IF(C134&gt;0,VLOOKUP(C134,C119:E124,2,FALSE),"")</f>
        <v>はしまモア</v>
      </c>
      <c r="E134" s="46" t="str">
        <f>IF(C134&gt;0,VLOOKUP(C134,C119:E124,3,FALSE),"")</f>
        <v>河村　一摩</v>
      </c>
      <c r="F134" s="8"/>
      <c r="G134" s="9"/>
      <c r="H134" s="9"/>
      <c r="I134" s="9"/>
      <c r="J134" s="9"/>
      <c r="K134" s="9"/>
      <c r="L134" s="9"/>
      <c r="M134" s="9"/>
      <c r="N134" s="9"/>
      <c r="O134" s="10"/>
    </row>
    <row r="135" spans="1:15" s="11" customFormat="1" ht="10.5">
      <c r="C135" s="49"/>
      <c r="D135" s="50"/>
      <c r="E135" s="51"/>
      <c r="F135" s="12"/>
      <c r="G135" s="12"/>
      <c r="H135" s="12"/>
      <c r="I135" s="12"/>
      <c r="J135" s="12"/>
      <c r="K135" s="12"/>
      <c r="L135" s="12"/>
      <c r="M135" s="12"/>
      <c r="N135" s="12"/>
      <c r="O135" s="13"/>
    </row>
    <row r="136" spans="1:15" s="1" customFormat="1">
      <c r="A136" s="1">
        <v>4</v>
      </c>
      <c r="C136" s="41">
        <f>IF(C124=6,5,IF(C123=5,2,IF(C122=4,2,IF(C121=3,0,0))))</f>
        <v>2</v>
      </c>
      <c r="D136" s="42" t="str">
        <f>IF(C136&gt;0,VLOOKUP(C136,C119:E124,2,FALSE),"")</f>
        <v>速星中学校</v>
      </c>
      <c r="E136" s="43" t="str">
        <f>IF(C136&gt;0,VLOOKUP(C136,C119:E124,3,FALSE),"")</f>
        <v>細川　唯人</v>
      </c>
      <c r="F136" s="5"/>
      <c r="G136" s="6"/>
      <c r="H136" s="6"/>
      <c r="I136" s="6"/>
      <c r="J136" s="6"/>
      <c r="K136" s="6"/>
      <c r="L136" s="6"/>
      <c r="M136" s="6"/>
      <c r="N136" s="6"/>
      <c r="O136" s="7"/>
    </row>
    <row r="137" spans="1:15" s="1" customFormat="1">
      <c r="C137" s="44">
        <f>IF(C124=6,6,IF(C123=5,3,IF(C122=4,4,IF(C121=3,0,0))))</f>
        <v>3</v>
      </c>
      <c r="D137" s="45" t="str">
        <f>IF(C137&gt;0,VLOOKUP(C137,C119:E124,2,FALSE),"")</f>
        <v>愛工大付属</v>
      </c>
      <c r="E137" s="46" t="str">
        <f>IF(C137&gt;0,VLOOKUP(C137,C119:E124,3,FALSE),"")</f>
        <v>伊藤　真吾</v>
      </c>
      <c r="F137" s="8"/>
      <c r="G137" s="9"/>
      <c r="H137" s="9"/>
      <c r="I137" s="9"/>
      <c r="J137" s="9"/>
      <c r="K137" s="9"/>
      <c r="L137" s="9"/>
      <c r="M137" s="9"/>
      <c r="N137" s="9"/>
      <c r="O137" s="10"/>
    </row>
    <row r="138" spans="1:15" s="11" customFormat="1" ht="10.5">
      <c r="C138" s="49"/>
      <c r="D138" s="50"/>
      <c r="E138" s="51"/>
      <c r="F138" s="12"/>
      <c r="G138" s="12"/>
      <c r="H138" s="12"/>
      <c r="I138" s="12"/>
      <c r="J138" s="12"/>
      <c r="K138" s="12"/>
      <c r="L138" s="12"/>
      <c r="M138" s="12"/>
      <c r="N138" s="12"/>
      <c r="O138" s="13"/>
    </row>
    <row r="139" spans="1:15" s="1" customFormat="1">
      <c r="A139" s="1">
        <v>5</v>
      </c>
      <c r="C139" s="41">
        <f>IF(C124=6,3,IF(C123=5,5,IF(C122=4,3,IF(C121=3,0,0))))</f>
        <v>5</v>
      </c>
      <c r="D139" s="42" t="str">
        <f>IF(C139&gt;0,VLOOKUP(C139,C119:E124,2,FALSE),"")</f>
        <v>はしまモア</v>
      </c>
      <c r="E139" s="43" t="str">
        <f>IF(C139&gt;0,VLOOKUP(C139,C119:E124,3,FALSE),"")</f>
        <v>大橋　拓叶</v>
      </c>
      <c r="F139" s="5"/>
      <c r="G139" s="6"/>
      <c r="H139" s="6"/>
      <c r="I139" s="6"/>
      <c r="J139" s="6"/>
      <c r="K139" s="6"/>
      <c r="L139" s="6"/>
      <c r="M139" s="6"/>
      <c r="N139" s="6"/>
      <c r="O139" s="7"/>
    </row>
    <row r="140" spans="1:15" s="1" customFormat="1">
      <c r="C140" s="44">
        <f>IF(C124=6,1,IF(C123=5,4,IF(C122=4,4,IF(C121=3,0,0))))</f>
        <v>4</v>
      </c>
      <c r="D140" s="45" t="str">
        <f>IF(C140&gt;0,VLOOKUP(C140,C119:E124,2,FALSE),"")</f>
        <v>富山パレス</v>
      </c>
      <c r="E140" s="46" t="str">
        <f>IF(C140&gt;0,VLOOKUP(C140,C119:E124,3,FALSE),"")</f>
        <v>高畠　龍斗</v>
      </c>
      <c r="F140" s="8"/>
      <c r="G140" s="9"/>
      <c r="H140" s="9"/>
      <c r="I140" s="9"/>
      <c r="J140" s="9"/>
      <c r="K140" s="9"/>
      <c r="L140" s="9"/>
      <c r="M140" s="9"/>
      <c r="N140" s="9"/>
      <c r="O140" s="10"/>
    </row>
    <row r="141" spans="1:15" s="11" customFormat="1" ht="10.5">
      <c r="C141" s="49"/>
      <c r="D141" s="50"/>
      <c r="E141" s="51"/>
      <c r="F141" s="12"/>
      <c r="G141" s="12"/>
      <c r="H141" s="12"/>
      <c r="I141" s="12"/>
      <c r="J141" s="12"/>
      <c r="K141" s="12"/>
      <c r="L141" s="12"/>
      <c r="M141" s="12"/>
      <c r="N141" s="12"/>
      <c r="O141" s="13"/>
    </row>
    <row r="142" spans="1:15" s="1" customFormat="1">
      <c r="A142" s="1">
        <v>6</v>
      </c>
      <c r="C142" s="41">
        <f>IF(C124=6,6,IF(C123=5,1,IF(C122=4,1,IF(C121=3,0,0))))</f>
        <v>1</v>
      </c>
      <c r="D142" s="42" t="str">
        <f>IF(C142&gt;0,VLOOKUP(C142,C119:E124,2,FALSE),"")</f>
        <v>はしまモア</v>
      </c>
      <c r="E142" s="43" t="str">
        <f>IF(C142&gt;0,VLOOKUP(C142,C119:E124,3,FALSE),"")</f>
        <v>河村　一摩</v>
      </c>
      <c r="F142" s="5"/>
      <c r="G142" s="6"/>
      <c r="H142" s="6"/>
      <c r="I142" s="6"/>
      <c r="J142" s="6"/>
      <c r="K142" s="6"/>
      <c r="L142" s="6"/>
      <c r="M142" s="6"/>
      <c r="N142" s="6"/>
      <c r="O142" s="7"/>
    </row>
    <row r="143" spans="1:15" s="1" customFormat="1">
      <c r="C143" s="44">
        <f>IF(C124=6,4,IF(C123=5,3,IF(C122=4,2,IF(C121=3,0,0))))</f>
        <v>3</v>
      </c>
      <c r="D143" s="45" t="str">
        <f>IF(C143&gt;0,VLOOKUP(C143,C119:E124,2,FALSE),"")</f>
        <v>愛工大付属</v>
      </c>
      <c r="E143" s="46" t="str">
        <f>IF(C143&gt;0,VLOOKUP(C143,C119:E124,3,FALSE),"")</f>
        <v>伊藤　真吾</v>
      </c>
      <c r="F143" s="8"/>
      <c r="G143" s="9"/>
      <c r="H143" s="9"/>
      <c r="I143" s="9"/>
      <c r="J143" s="9"/>
      <c r="K143" s="9"/>
      <c r="L143" s="9"/>
      <c r="M143" s="9"/>
      <c r="N143" s="9"/>
      <c r="O143" s="10"/>
    </row>
    <row r="144" spans="1:15" s="11" customFormat="1" ht="10.5">
      <c r="C144" s="49"/>
      <c r="D144" s="50"/>
      <c r="E144" s="51"/>
      <c r="F144" s="12"/>
      <c r="G144" s="12"/>
      <c r="H144" s="12"/>
      <c r="I144" s="12"/>
      <c r="J144" s="12"/>
      <c r="K144" s="12"/>
      <c r="L144" s="12"/>
      <c r="M144" s="12"/>
      <c r="N144" s="12"/>
      <c r="O144" s="13"/>
    </row>
    <row r="145" spans="1:15" s="1" customFormat="1">
      <c r="A145" s="1">
        <v>7</v>
      </c>
      <c r="C145" s="41">
        <f>IF(C124=6,2,IF(C123=5,2,IF(C122=4,0,0)))</f>
        <v>2</v>
      </c>
      <c r="D145" s="42" t="str">
        <f>IF(C145&gt;0,VLOOKUP(C145,C119:E124,2,FALSE),"")</f>
        <v>速星中学校</v>
      </c>
      <c r="E145" s="43" t="str">
        <f>IF(C145&gt;0,VLOOKUP(C145,C119:E124,3,FALSE),"")</f>
        <v>細川　唯人</v>
      </c>
      <c r="F145" s="5"/>
      <c r="G145" s="6"/>
      <c r="H145" s="6"/>
      <c r="I145" s="6"/>
      <c r="J145" s="6"/>
      <c r="K145" s="6"/>
      <c r="L145" s="6"/>
      <c r="M145" s="6"/>
      <c r="N145" s="6"/>
      <c r="O145" s="7"/>
    </row>
    <row r="146" spans="1:15" s="1" customFormat="1">
      <c r="C146" s="44">
        <f>IF(C124=6,5,IF(C123=5,5,IF(C122=4,0,0)))</f>
        <v>5</v>
      </c>
      <c r="D146" s="45" t="str">
        <f>IF(C146&gt;0,VLOOKUP(C146,C119:E124,2,FALSE),"")</f>
        <v>はしまモア</v>
      </c>
      <c r="E146" s="46" t="str">
        <f>IF(C146&gt;0,VLOOKUP(C146,C119:E124,3,FALSE),"")</f>
        <v>大橋　拓叶</v>
      </c>
      <c r="F146" s="8"/>
      <c r="G146" s="9"/>
      <c r="H146" s="9"/>
      <c r="I146" s="9"/>
      <c r="J146" s="9"/>
      <c r="K146" s="9"/>
      <c r="L146" s="9"/>
      <c r="M146" s="9"/>
      <c r="N146" s="9"/>
      <c r="O146" s="10"/>
    </row>
    <row r="147" spans="1:15" s="11" customFormat="1" ht="10.5">
      <c r="C147" s="49"/>
      <c r="D147" s="50"/>
      <c r="E147" s="51"/>
      <c r="F147" s="12"/>
      <c r="G147" s="12"/>
      <c r="H147" s="12"/>
      <c r="I147" s="12"/>
      <c r="J147" s="12"/>
      <c r="K147" s="12"/>
      <c r="L147" s="12"/>
      <c r="M147" s="12"/>
      <c r="N147" s="12"/>
      <c r="O147" s="13"/>
    </row>
    <row r="148" spans="1:15" s="1" customFormat="1">
      <c r="A148" s="1">
        <v>8</v>
      </c>
      <c r="C148" s="41">
        <f>IF(C124=6,1,IF(C123=5,4,IF(C122=4,0,0)))</f>
        <v>4</v>
      </c>
      <c r="D148" s="42" t="str">
        <f>IF(C148&gt;0,VLOOKUP(C148,C119:E124,2,FALSE),"")</f>
        <v>富山パレス</v>
      </c>
      <c r="E148" s="43" t="str">
        <f>IF(C148&gt;0,VLOOKUP(C148,C119:E124,3,FALSE),"")</f>
        <v>高畠　龍斗</v>
      </c>
      <c r="F148" s="5"/>
      <c r="G148" s="6"/>
      <c r="H148" s="6"/>
      <c r="I148" s="6"/>
      <c r="J148" s="6"/>
      <c r="K148" s="6"/>
      <c r="L148" s="6"/>
      <c r="M148" s="6"/>
      <c r="N148" s="6"/>
      <c r="O148" s="7"/>
    </row>
    <row r="149" spans="1:15" s="1" customFormat="1">
      <c r="C149" s="44">
        <f>IF(C124=6,4,IF(C123=5,1,IF(C122=4,0,0)))</f>
        <v>1</v>
      </c>
      <c r="D149" s="45" t="str">
        <f>IF(C149&gt;0,VLOOKUP(C149,C119:E124,2,FALSE),"")</f>
        <v>はしまモア</v>
      </c>
      <c r="E149" s="46" t="str">
        <f>IF(C149&gt;0,VLOOKUP(C149,C119:E124,3,FALSE),"")</f>
        <v>河村　一摩</v>
      </c>
      <c r="F149" s="8"/>
      <c r="G149" s="9"/>
      <c r="H149" s="9"/>
      <c r="I149" s="9"/>
      <c r="J149" s="9"/>
      <c r="K149" s="9"/>
      <c r="L149" s="9"/>
      <c r="M149" s="9"/>
      <c r="N149" s="9"/>
      <c r="O149" s="10"/>
    </row>
    <row r="150" spans="1:15" s="11" customFormat="1" ht="10.5">
      <c r="C150" s="49"/>
      <c r="D150" s="50"/>
      <c r="E150" s="51"/>
      <c r="F150" s="12"/>
      <c r="G150" s="12"/>
      <c r="H150" s="12"/>
      <c r="I150" s="12"/>
      <c r="J150" s="12"/>
      <c r="K150" s="12"/>
      <c r="L150" s="12"/>
      <c r="M150" s="12"/>
      <c r="N150" s="12"/>
      <c r="O150" s="13"/>
    </row>
    <row r="151" spans="1:15" s="1" customFormat="1">
      <c r="A151" s="1">
        <v>9</v>
      </c>
      <c r="C151" s="41">
        <f>IF(C124=6,5,IF(C123=5,3,IF(C122=4,0,0)))</f>
        <v>3</v>
      </c>
      <c r="D151" s="42" t="str">
        <f>IF(C151&gt;0,VLOOKUP(C151,C119:E124,2,FALSE),"")</f>
        <v>愛工大付属</v>
      </c>
      <c r="E151" s="43" t="str">
        <f>IF(C151&gt;0,VLOOKUP(C151,C119:E124,3,FALSE),"")</f>
        <v>伊藤　真吾</v>
      </c>
      <c r="F151" s="5"/>
      <c r="G151" s="6"/>
      <c r="H151" s="6"/>
      <c r="I151" s="6"/>
      <c r="J151" s="6"/>
      <c r="K151" s="6"/>
      <c r="L151" s="6"/>
      <c r="M151" s="6"/>
      <c r="N151" s="6"/>
      <c r="O151" s="7"/>
    </row>
    <row r="152" spans="1:15" s="1" customFormat="1">
      <c r="C152" s="44">
        <f>IF(C124=6,3,IF(C123=5,5,IF(C122=4,0,0)))</f>
        <v>5</v>
      </c>
      <c r="D152" s="45" t="str">
        <f>IF(C152&gt;0,VLOOKUP(C152,C119:E124,2,FALSE),"")</f>
        <v>はしまモア</v>
      </c>
      <c r="E152" s="46" t="str">
        <f>IF(C152&gt;0,VLOOKUP(C152,C119:E124,3,FALSE),"")</f>
        <v>大橋　拓叶</v>
      </c>
      <c r="F152" s="8"/>
      <c r="G152" s="9"/>
      <c r="H152" s="9"/>
      <c r="I152" s="9"/>
      <c r="J152" s="9"/>
      <c r="K152" s="9"/>
      <c r="L152" s="9"/>
      <c r="M152" s="9"/>
      <c r="N152" s="9"/>
      <c r="O152" s="10"/>
    </row>
    <row r="153" spans="1:15" s="11" customFormat="1" ht="10.5">
      <c r="C153" s="49"/>
      <c r="D153" s="50"/>
      <c r="E153" s="51"/>
      <c r="F153" s="12"/>
      <c r="G153" s="12"/>
      <c r="H153" s="12"/>
      <c r="I153" s="12"/>
      <c r="J153" s="12"/>
      <c r="K153" s="12"/>
      <c r="L153" s="12"/>
      <c r="M153" s="12"/>
      <c r="N153" s="12"/>
      <c r="O153" s="13"/>
    </row>
    <row r="154" spans="1:15" s="1" customFormat="1">
      <c r="A154" s="1">
        <v>10</v>
      </c>
      <c r="C154" s="41">
        <f>IF(C124=6,1,IF(C123=5,4,IF(C122=4,0,0)))</f>
        <v>4</v>
      </c>
      <c r="D154" s="42" t="str">
        <f>IF(C154&gt;0,VLOOKUP(C154,C119:E124,2,FALSE),"")</f>
        <v>富山パレス</v>
      </c>
      <c r="E154" s="43" t="str">
        <f>IF(C154&gt;0,VLOOKUP(C154,C119:E124,3,FALSE),"")</f>
        <v>高畠　龍斗</v>
      </c>
      <c r="F154" s="5"/>
      <c r="G154" s="6"/>
      <c r="H154" s="6"/>
      <c r="I154" s="6"/>
      <c r="J154" s="6"/>
      <c r="K154" s="6"/>
      <c r="L154" s="6"/>
      <c r="M154" s="6"/>
      <c r="N154" s="6"/>
      <c r="O154" s="7"/>
    </row>
    <row r="155" spans="1:15" s="1" customFormat="1">
      <c r="C155" s="44">
        <f>IF(C124=6,6,IF(C123=5,2,IF(C122=4,0,0)))</f>
        <v>2</v>
      </c>
      <c r="D155" s="45" t="str">
        <f>IF(C155&gt;0,VLOOKUP(C155,C119:E124,2,FALSE),"")</f>
        <v>速星中学校</v>
      </c>
      <c r="E155" s="46" t="str">
        <f>IF(C155&gt;0,VLOOKUP(C155,C119:E124,3,FALSE),"")</f>
        <v>細川　唯人</v>
      </c>
      <c r="F155" s="8"/>
      <c r="G155" s="9"/>
      <c r="H155" s="9"/>
      <c r="I155" s="9"/>
      <c r="J155" s="9"/>
      <c r="K155" s="9"/>
      <c r="L155" s="9"/>
      <c r="M155" s="9"/>
      <c r="N155" s="9"/>
      <c r="O155" s="10"/>
    </row>
    <row r="156" spans="1:15" s="11" customFormat="1" ht="10.5">
      <c r="C156" s="49"/>
      <c r="D156" s="50"/>
      <c r="E156" s="51"/>
      <c r="F156" s="12"/>
      <c r="G156" s="12"/>
      <c r="H156" s="12"/>
      <c r="I156" s="12"/>
      <c r="J156" s="12"/>
      <c r="K156" s="12"/>
      <c r="L156" s="12"/>
      <c r="M156" s="12"/>
      <c r="N156" s="12"/>
      <c r="O156" s="13"/>
    </row>
    <row r="157" spans="1:15" s="1" customFormat="1">
      <c r="A157" s="1">
        <v>11</v>
      </c>
      <c r="C157" s="41">
        <f>IF(C124=6,4,0)</f>
        <v>0</v>
      </c>
      <c r="D157" s="42" t="str">
        <f>IF(C157&gt;0,VLOOKUP(C157,C119:E124,2,FALSE),"")</f>
        <v/>
      </c>
      <c r="E157" s="43" t="str">
        <f>IF(C157&gt;0,VLOOKUP(C157,C119:E124,3,FALSE),"")</f>
        <v/>
      </c>
      <c r="F157" s="5"/>
      <c r="G157" s="6"/>
      <c r="H157" s="6"/>
      <c r="I157" s="6"/>
      <c r="J157" s="6"/>
      <c r="K157" s="6"/>
      <c r="L157" s="6"/>
      <c r="M157" s="6"/>
      <c r="N157" s="6"/>
      <c r="O157" s="7"/>
    </row>
    <row r="158" spans="1:15" s="1" customFormat="1">
      <c r="C158" s="44">
        <f>IF(C124=6,2,0)</f>
        <v>0</v>
      </c>
      <c r="D158" s="45" t="str">
        <f>IF(C158&gt;0,VLOOKUP(C158,C119:E124,2,FALSE),"")</f>
        <v/>
      </c>
      <c r="E158" s="46" t="str">
        <f>IF(C158&gt;0,VLOOKUP(C158,C119:E124,3,FALSE),"")</f>
        <v/>
      </c>
      <c r="F158" s="8"/>
      <c r="G158" s="9"/>
      <c r="H158" s="9"/>
      <c r="I158" s="9"/>
      <c r="J158" s="9"/>
      <c r="K158" s="9"/>
      <c r="L158" s="9"/>
      <c r="M158" s="9"/>
      <c r="N158" s="9"/>
      <c r="O158" s="10"/>
    </row>
    <row r="159" spans="1:15" s="11" customFormat="1" ht="10.5">
      <c r="C159" s="49"/>
      <c r="D159" s="50"/>
      <c r="E159" s="51"/>
      <c r="F159" s="12"/>
      <c r="G159" s="12"/>
      <c r="H159" s="12"/>
      <c r="I159" s="12"/>
      <c r="J159" s="12"/>
      <c r="K159" s="12"/>
      <c r="L159" s="12"/>
      <c r="M159" s="12"/>
      <c r="N159" s="12"/>
      <c r="O159" s="13"/>
    </row>
    <row r="160" spans="1:15" s="1" customFormat="1">
      <c r="A160" s="1">
        <v>12</v>
      </c>
      <c r="C160" s="41">
        <f>IF(C124=6,3,0)</f>
        <v>0</v>
      </c>
      <c r="D160" s="42" t="str">
        <f>IF(C160&gt;0,VLOOKUP(C160,C119:E124,2,FALSE),"")</f>
        <v/>
      </c>
      <c r="E160" s="43" t="str">
        <f>IF(C160&gt;0,VLOOKUP(C160,C119:E124,3,FALSE),"")</f>
        <v/>
      </c>
      <c r="F160" s="5"/>
      <c r="G160" s="6"/>
      <c r="H160" s="6"/>
      <c r="I160" s="6"/>
      <c r="J160" s="6"/>
      <c r="K160" s="6"/>
      <c r="L160" s="6"/>
      <c r="M160" s="6"/>
      <c r="N160" s="6"/>
      <c r="O160" s="7"/>
    </row>
    <row r="161" spans="1:16" s="1" customFormat="1" ht="13.5" customHeight="1">
      <c r="C161" s="44">
        <f>IF(C124=6,6,0)</f>
        <v>0</v>
      </c>
      <c r="D161" s="45" t="str">
        <f>IF(C161&gt;0,VLOOKUP(C161,C119:E124,2,FALSE),"")</f>
        <v/>
      </c>
      <c r="E161" s="46" t="str">
        <f>IF(C161&gt;0,VLOOKUP(C161,C119:E124,3,FALSE),"")</f>
        <v/>
      </c>
      <c r="F161" s="8"/>
      <c r="G161" s="9"/>
      <c r="H161" s="9"/>
      <c r="I161" s="9"/>
      <c r="J161" s="9"/>
      <c r="K161" s="9"/>
      <c r="L161" s="9"/>
      <c r="M161" s="9"/>
      <c r="N161" s="9"/>
      <c r="O161" s="10"/>
    </row>
    <row r="162" spans="1:16" s="11" customFormat="1" ht="10.5">
      <c r="C162" s="49"/>
      <c r="D162" s="50"/>
      <c r="E162" s="51"/>
      <c r="F162" s="12"/>
      <c r="G162" s="12"/>
      <c r="H162" s="12"/>
      <c r="I162" s="12"/>
      <c r="J162" s="12"/>
      <c r="K162" s="12"/>
      <c r="L162" s="12"/>
      <c r="M162" s="12"/>
      <c r="N162" s="12"/>
      <c r="O162" s="13"/>
    </row>
    <row r="163" spans="1:16" s="1" customFormat="1">
      <c r="A163" s="1">
        <v>13</v>
      </c>
      <c r="C163" s="41">
        <f>IF(C124=6,5,0)</f>
        <v>0</v>
      </c>
      <c r="D163" s="42" t="str">
        <f>IF(C163&gt;0,VLOOKUP(C163,C119:E124,2,FALSE),"")</f>
        <v/>
      </c>
      <c r="E163" s="43" t="str">
        <f>IF(C163&gt;0,VLOOKUP(C163,C119:E124,3,FALSE),"")</f>
        <v/>
      </c>
      <c r="F163" s="5"/>
      <c r="G163" s="6"/>
      <c r="H163" s="6"/>
      <c r="I163" s="6"/>
      <c r="J163" s="6"/>
      <c r="K163" s="6"/>
      <c r="L163" s="6"/>
      <c r="M163" s="6"/>
      <c r="N163" s="6"/>
      <c r="O163" s="7"/>
    </row>
    <row r="164" spans="1:16" s="1" customFormat="1">
      <c r="C164" s="44">
        <f>IF(C124=6,1,0)</f>
        <v>0</v>
      </c>
      <c r="D164" s="45" t="str">
        <f>IF(C164&gt;0,VLOOKUP(C164,C119:E124,2,FALSE),"")</f>
        <v/>
      </c>
      <c r="E164" s="46" t="str">
        <f>IF(C164&gt;0,VLOOKUP(C164,C119:E124,3,FALSE),"")</f>
        <v/>
      </c>
      <c r="F164" s="8"/>
      <c r="G164" s="9"/>
      <c r="H164" s="9"/>
      <c r="I164" s="9"/>
      <c r="J164" s="9"/>
      <c r="K164" s="9"/>
      <c r="L164" s="9"/>
      <c r="M164" s="9"/>
      <c r="N164" s="9"/>
      <c r="O164" s="10"/>
    </row>
    <row r="165" spans="1:16" s="11" customFormat="1" ht="10.5">
      <c r="C165" s="49"/>
      <c r="D165" s="50"/>
      <c r="E165" s="51"/>
      <c r="F165" s="12"/>
      <c r="G165" s="12"/>
      <c r="H165" s="12"/>
      <c r="I165" s="12"/>
      <c r="J165" s="12"/>
      <c r="K165" s="12"/>
      <c r="L165" s="12"/>
      <c r="M165" s="12"/>
      <c r="N165" s="12"/>
      <c r="O165" s="13"/>
    </row>
    <row r="166" spans="1:16" s="1" customFormat="1">
      <c r="A166" s="1">
        <v>14</v>
      </c>
      <c r="C166" s="41">
        <f>IF(C124=6,3,0)</f>
        <v>0</v>
      </c>
      <c r="D166" s="42" t="str">
        <f>IF(C166&gt;0,VLOOKUP(C166,C119:E124,2,FALSE),"")</f>
        <v/>
      </c>
      <c r="E166" s="43" t="str">
        <f>IF(C166&gt;0,VLOOKUP(C166,C119:E124,3,FALSE),"")</f>
        <v/>
      </c>
      <c r="F166" s="5"/>
      <c r="G166" s="6"/>
      <c r="H166" s="6"/>
      <c r="I166" s="6"/>
      <c r="J166" s="6"/>
      <c r="K166" s="6"/>
      <c r="L166" s="6"/>
      <c r="M166" s="6"/>
      <c r="N166" s="6"/>
      <c r="O166" s="7"/>
    </row>
    <row r="167" spans="1:16" s="1" customFormat="1">
      <c r="C167" s="44">
        <f>IF(C124=6,4,0)</f>
        <v>0</v>
      </c>
      <c r="D167" s="45" t="str">
        <f>IF(C167&gt;0,VLOOKUP(C167,C119:E124,2,FALSE),"")</f>
        <v/>
      </c>
      <c r="E167" s="46" t="str">
        <f>IF(C167&gt;0,VLOOKUP(C167,C119:E124,3,FALSE),"")</f>
        <v/>
      </c>
      <c r="F167" s="8"/>
      <c r="G167" s="9"/>
      <c r="H167" s="9"/>
      <c r="I167" s="9"/>
      <c r="J167" s="9"/>
      <c r="K167" s="9"/>
      <c r="L167" s="9"/>
      <c r="M167" s="9"/>
      <c r="N167" s="9"/>
      <c r="O167" s="10"/>
    </row>
    <row r="168" spans="1:16" s="11" customFormat="1" ht="10.5">
      <c r="C168" s="49"/>
      <c r="D168" s="50"/>
      <c r="E168" s="51"/>
      <c r="F168" s="12"/>
      <c r="G168" s="12"/>
      <c r="H168" s="12"/>
      <c r="I168" s="12"/>
      <c r="J168" s="12"/>
      <c r="K168" s="12"/>
      <c r="L168" s="12"/>
      <c r="M168" s="12"/>
      <c r="N168" s="12"/>
      <c r="O168" s="13"/>
    </row>
    <row r="169" spans="1:16" s="1" customFormat="1">
      <c r="A169" s="1">
        <v>15</v>
      </c>
      <c r="C169" s="41">
        <f>IF(C124=6,6,0)</f>
        <v>0</v>
      </c>
      <c r="D169" s="42" t="str">
        <f>IF(C169&gt;0,VLOOKUP(C169,C119:E124,2,FALSE),"")</f>
        <v/>
      </c>
      <c r="E169" s="43" t="str">
        <f>IF(C169&gt;0,VLOOKUP(C169,C119:E124,3,FALSE),"")</f>
        <v/>
      </c>
      <c r="F169" s="5"/>
      <c r="G169" s="6"/>
      <c r="H169" s="6"/>
      <c r="I169" s="6"/>
      <c r="J169" s="6"/>
      <c r="K169" s="6"/>
      <c r="L169" s="6"/>
      <c r="M169" s="6"/>
      <c r="N169" s="6"/>
      <c r="O169" s="7"/>
    </row>
    <row r="170" spans="1:16" s="1" customFormat="1">
      <c r="C170" s="44">
        <f>IF(C124=6,2,0)</f>
        <v>0</v>
      </c>
      <c r="D170" s="45" t="str">
        <f>IF(C170&gt;0,VLOOKUP(C170,C119:E124,2,FALSE),"")</f>
        <v/>
      </c>
      <c r="E170" s="46" t="str">
        <f>IF(C170&gt;0,VLOOKUP(C170,C119:E124,3,FALSE),"")</f>
        <v/>
      </c>
      <c r="F170" s="8"/>
      <c r="G170" s="9"/>
      <c r="H170" s="9"/>
      <c r="I170" s="9"/>
      <c r="J170" s="9"/>
      <c r="K170" s="9"/>
      <c r="L170" s="9"/>
      <c r="M170" s="9"/>
      <c r="N170" s="9"/>
      <c r="O170" s="10"/>
    </row>
    <row r="171" spans="1:16" s="104" customFormat="1" ht="10.5">
      <c r="C171" s="107"/>
      <c r="D171" s="52"/>
      <c r="E171" s="53"/>
      <c r="F171" s="108"/>
      <c r="G171" s="108"/>
      <c r="H171" s="108"/>
      <c r="I171" s="108"/>
      <c r="J171" s="108"/>
      <c r="K171" s="108"/>
      <c r="L171" s="108"/>
      <c r="M171" s="108"/>
      <c r="N171" s="108"/>
      <c r="O171" s="109"/>
    </row>
    <row r="172" spans="1:16" s="57" customFormat="1" ht="17.25">
      <c r="A172" s="321" t="str">
        <f>名簿!$A$1</f>
        <v>第9回川本杯はしまモアフェンシング大会</v>
      </c>
      <c r="B172" s="321"/>
      <c r="C172" s="321"/>
      <c r="D172" s="321"/>
      <c r="E172" s="321"/>
      <c r="F172" s="321"/>
      <c r="G172" s="321"/>
      <c r="H172" s="321"/>
      <c r="I172" s="321"/>
      <c r="J172" s="321"/>
      <c r="K172" s="268" t="s">
        <v>72</v>
      </c>
      <c r="L172" s="322" t="s">
        <v>73</v>
      </c>
      <c r="M172" s="322"/>
      <c r="N172" s="322"/>
      <c r="O172" s="323"/>
    </row>
    <row r="173" spans="1:16" s="58" customFormat="1" ht="14.25">
      <c r="A173" s="318" t="str">
        <f>"　"&amp;名簿!$A$2</f>
        <v>　中学男子</v>
      </c>
      <c r="B173" s="318"/>
      <c r="C173" s="318"/>
      <c r="D173" s="318"/>
      <c r="E173" s="318"/>
      <c r="F173" s="318"/>
      <c r="G173" s="318"/>
      <c r="H173" s="318"/>
      <c r="I173" s="318"/>
      <c r="J173" s="318"/>
      <c r="K173" s="269"/>
      <c r="L173" s="319" t="s">
        <v>74</v>
      </c>
      <c r="M173" s="319"/>
      <c r="N173" s="319"/>
      <c r="O173" s="320"/>
    </row>
    <row r="174" spans="1:16" s="58" customFormat="1" ht="14.25">
      <c r="A174" s="314" t="str">
        <f>"　　"&amp;名簿!$A$3</f>
        <v>　　1回戦</v>
      </c>
      <c r="B174" s="314"/>
      <c r="C174" s="314"/>
      <c r="D174" s="314"/>
      <c r="E174" s="314"/>
      <c r="K174" s="315">
        <f>名簿!$E$3</f>
        <v>43184</v>
      </c>
      <c r="L174" s="315"/>
      <c r="M174" s="315"/>
      <c r="N174" s="315"/>
      <c r="O174" s="315"/>
    </row>
    <row r="175" spans="1:16">
      <c r="A175" s="59" t="s">
        <v>57</v>
      </c>
      <c r="B175" s="60" t="s">
        <v>13</v>
      </c>
      <c r="C175" s="61" t="s">
        <v>0</v>
      </c>
      <c r="D175" s="62" t="s">
        <v>7</v>
      </c>
      <c r="E175" s="63" t="s">
        <v>8</v>
      </c>
      <c r="F175" s="64">
        <v>1</v>
      </c>
      <c r="G175" s="65">
        <v>2</v>
      </c>
      <c r="H175" s="65">
        <v>3</v>
      </c>
      <c r="I175" s="65">
        <v>4</v>
      </c>
      <c r="J175" s="65">
        <v>5</v>
      </c>
      <c r="K175" s="66">
        <v>6</v>
      </c>
      <c r="L175" s="67" t="s">
        <v>58</v>
      </c>
      <c r="M175" s="68" t="s">
        <v>59</v>
      </c>
      <c r="N175" s="316" t="s">
        <v>6</v>
      </c>
      <c r="O175" s="317"/>
      <c r="P175" s="69"/>
    </row>
    <row r="176" spans="1:16" ht="18" customHeight="1">
      <c r="A176" s="71">
        <f>'予選 Ｐ'!A23</f>
        <v>4</v>
      </c>
      <c r="B176" s="72">
        <f>'予選 Ｐ'!B23</f>
        <v>4</v>
      </c>
      <c r="C176" s="73">
        <f>'予選 Ｐ'!C23</f>
        <v>1</v>
      </c>
      <c r="D176" s="34" t="str">
        <f>'予選 Ｐ'!E23</f>
        <v>はしまモア</v>
      </c>
      <c r="E176" s="35" t="str">
        <f>'予選 Ｐ'!F23</f>
        <v>福田　亮介</v>
      </c>
      <c r="F176" s="74"/>
      <c r="G176" s="75"/>
      <c r="H176" s="75"/>
      <c r="I176" s="75"/>
      <c r="J176" s="75"/>
      <c r="K176" s="76"/>
      <c r="L176" s="77"/>
      <c r="M176" s="78"/>
      <c r="N176" s="79"/>
      <c r="O176" s="80"/>
      <c r="P176" s="81"/>
    </row>
    <row r="177" spans="1:16" ht="18" customHeight="1">
      <c r="A177" s="82">
        <f>'予選 Ｐ'!A24</f>
        <v>4</v>
      </c>
      <c r="B177" s="83">
        <f>'予選 Ｐ'!B24</f>
        <v>15</v>
      </c>
      <c r="C177" s="84">
        <f>'予選 Ｐ'!C24</f>
        <v>2</v>
      </c>
      <c r="D177" s="36" t="str">
        <f>'予選 Ｐ'!E24</f>
        <v>速星中学校</v>
      </c>
      <c r="E177" s="35" t="str">
        <f>'予選 Ｐ'!F24</f>
        <v>小林　颯一</v>
      </c>
      <c r="F177" s="85"/>
      <c r="G177" s="86"/>
      <c r="H177" s="87"/>
      <c r="I177" s="87"/>
      <c r="J177" s="87"/>
      <c r="K177" s="88"/>
      <c r="L177" s="89"/>
      <c r="M177" s="90"/>
      <c r="N177" s="91"/>
      <c r="O177" s="92"/>
      <c r="P177" s="81"/>
    </row>
    <row r="178" spans="1:16" ht="18" customHeight="1">
      <c r="A178" s="82">
        <f>'予選 Ｐ'!A25</f>
        <v>4</v>
      </c>
      <c r="B178" s="83">
        <f>'予選 Ｐ'!B25</f>
        <v>27</v>
      </c>
      <c r="C178" s="84">
        <f>'予選 Ｐ'!C25</f>
        <v>3</v>
      </c>
      <c r="D178" s="36" t="str">
        <f>'予選 Ｐ'!E25</f>
        <v>滋賀ＪＦＣ</v>
      </c>
      <c r="E178" s="35" t="str">
        <f>'予選 Ｐ'!F25</f>
        <v>保知　純乃介</v>
      </c>
      <c r="F178" s="85"/>
      <c r="G178" s="87"/>
      <c r="H178" s="86"/>
      <c r="I178" s="87"/>
      <c r="J178" s="87"/>
      <c r="K178" s="88"/>
      <c r="L178" s="89"/>
      <c r="M178" s="90"/>
      <c r="N178" s="91"/>
      <c r="O178" s="92"/>
      <c r="P178" s="81"/>
    </row>
    <row r="179" spans="1:16" ht="18" customHeight="1">
      <c r="A179" s="82">
        <f>'予選 Ｐ'!A26</f>
        <v>4</v>
      </c>
      <c r="B179" s="83">
        <f>IF('予選 Ｐ'!B26="","",'予選 Ｐ'!B26)</f>
        <v>33</v>
      </c>
      <c r="C179" s="84">
        <f>'予選 Ｐ'!C26</f>
        <v>4</v>
      </c>
      <c r="D179" s="36" t="str">
        <f>'予選 Ｐ'!E26</f>
        <v>愛工大付属</v>
      </c>
      <c r="E179" s="35" t="str">
        <f>'予選 Ｐ'!F26</f>
        <v>永津　稜麻</v>
      </c>
      <c r="F179" s="85"/>
      <c r="G179" s="87"/>
      <c r="H179" s="87"/>
      <c r="I179" s="86"/>
      <c r="J179" s="87"/>
      <c r="K179" s="88"/>
      <c r="L179" s="89"/>
      <c r="M179" s="90"/>
      <c r="N179" s="91"/>
      <c r="O179" s="92"/>
      <c r="P179" s="81"/>
    </row>
    <row r="180" spans="1:16" ht="18" customHeight="1">
      <c r="A180" s="82">
        <f>'予選 Ｐ'!A27</f>
        <v>4</v>
      </c>
      <c r="B180" s="83">
        <f>IF('予選 Ｐ'!B27="","",'予選 Ｐ'!B27)</f>
        <v>40</v>
      </c>
      <c r="C180" s="84">
        <f>'予選 Ｐ'!C27</f>
        <v>5</v>
      </c>
      <c r="D180" s="36" t="str">
        <f>'予選 Ｐ'!E27</f>
        <v>富山パレス</v>
      </c>
      <c r="E180" s="35" t="str">
        <f>'予選 Ｐ'!F27</f>
        <v>土田　龍也</v>
      </c>
      <c r="F180" s="85"/>
      <c r="G180" s="87"/>
      <c r="H180" s="87"/>
      <c r="I180" s="87"/>
      <c r="J180" s="86"/>
      <c r="K180" s="88"/>
      <c r="L180" s="89"/>
      <c r="M180" s="90"/>
      <c r="N180" s="91"/>
      <c r="O180" s="92"/>
      <c r="P180" s="81"/>
    </row>
    <row r="181" spans="1:16" ht="18" customHeight="1">
      <c r="A181" s="93">
        <f>'予選 Ｐ'!A28</f>
        <v>4</v>
      </c>
      <c r="B181" s="94">
        <f>IF('予選 Ｐ'!B28="","",'予選 Ｐ'!B28)</f>
        <v>43</v>
      </c>
      <c r="C181" s="95">
        <f>'予選 Ｐ'!C28</f>
        <v>6</v>
      </c>
      <c r="D181" s="37" t="str">
        <f>'予選 Ｐ'!E28</f>
        <v>杉並ジュニア</v>
      </c>
      <c r="E181" s="96" t="str">
        <f>'予選 Ｐ'!F28</f>
        <v>山﨑　貴史</v>
      </c>
      <c r="F181" s="97"/>
      <c r="G181" s="98"/>
      <c r="H181" s="98"/>
      <c r="I181" s="98"/>
      <c r="J181" s="98"/>
      <c r="K181" s="99"/>
      <c r="L181" s="100"/>
      <c r="M181" s="101"/>
      <c r="N181" s="102"/>
      <c r="O181" s="103"/>
      <c r="P181" s="81"/>
    </row>
    <row r="182" spans="1:16" s="104" customFormat="1" ht="10.5">
      <c r="D182" s="105"/>
      <c r="E182" s="106"/>
    </row>
    <row r="183" spans="1:16" s="1" customFormat="1">
      <c r="C183" s="38" t="s">
        <v>37</v>
      </c>
      <c r="D183" s="39" t="s">
        <v>16</v>
      </c>
      <c r="E183" s="40" t="s">
        <v>8</v>
      </c>
      <c r="F183" s="2">
        <v>1</v>
      </c>
      <c r="G183" s="3">
        <v>2</v>
      </c>
      <c r="H183" s="3">
        <v>3</v>
      </c>
      <c r="I183" s="3">
        <v>4</v>
      </c>
      <c r="J183" s="3">
        <v>5</v>
      </c>
      <c r="K183" s="3">
        <v>6</v>
      </c>
      <c r="L183" s="3">
        <v>7</v>
      </c>
      <c r="M183" s="3">
        <v>8</v>
      </c>
      <c r="N183" s="3">
        <v>9</v>
      </c>
      <c r="O183" s="4" t="s">
        <v>5</v>
      </c>
    </row>
    <row r="184" spans="1:16" s="1" customFormat="1">
      <c r="A184" s="1">
        <v>1</v>
      </c>
      <c r="C184" s="41">
        <v>1</v>
      </c>
      <c r="D184" s="42" t="str">
        <f>IF(C184&gt;0,VLOOKUP(C184,C176:E181,2,FALSE),"")</f>
        <v>はしまモア</v>
      </c>
      <c r="E184" s="43" t="str">
        <f>IF(C184&gt;0,VLOOKUP(C184,C176:E181,3,FALSE),"")</f>
        <v>福田　亮介</v>
      </c>
      <c r="F184" s="5"/>
      <c r="G184" s="6"/>
      <c r="H184" s="6"/>
      <c r="I184" s="6"/>
      <c r="J184" s="6"/>
      <c r="K184" s="6"/>
      <c r="L184" s="6"/>
      <c r="M184" s="6"/>
      <c r="N184" s="6"/>
      <c r="O184" s="7"/>
    </row>
    <row r="185" spans="1:16" s="1" customFormat="1">
      <c r="C185" s="44">
        <f>IF(C181=6,2,IF(C180=5,2,IF(C179=4,4,IF(C178=3,3))))</f>
        <v>2</v>
      </c>
      <c r="D185" s="45" t="str">
        <f>IF(C185&gt;0,VLOOKUP(C185,C176:E181,2,FALSE),"")</f>
        <v>速星中学校</v>
      </c>
      <c r="E185" s="46" t="str">
        <f>IF(C185&gt;0,VLOOKUP(C185,C176:E181,3,FALSE),"")</f>
        <v>小林　颯一</v>
      </c>
      <c r="F185" s="8"/>
      <c r="G185" s="9"/>
      <c r="H185" s="9"/>
      <c r="I185" s="9"/>
      <c r="J185" s="9"/>
      <c r="K185" s="9"/>
      <c r="L185" s="9"/>
      <c r="M185" s="9"/>
      <c r="N185" s="9"/>
      <c r="O185" s="10"/>
    </row>
    <row r="186" spans="1:16" s="11" customFormat="1" ht="10.5">
      <c r="D186" s="47"/>
      <c r="E186" s="48"/>
    </row>
    <row r="187" spans="1:16" s="1" customFormat="1">
      <c r="A187" s="1">
        <v>2</v>
      </c>
      <c r="C187" s="41">
        <f>IF(C181=6,4,IF(C180=5,3,IF(C179=4,2,IF(C178=3,2))))</f>
        <v>4</v>
      </c>
      <c r="D187" s="42" t="str">
        <f>IF(C187&gt;0,VLOOKUP(C187,C176:E181,2,FALSE),"")</f>
        <v>愛工大付属</v>
      </c>
      <c r="E187" s="43" t="str">
        <f>IF(C187&gt;0,VLOOKUP(C187,C176:E181,3,FALSE),"")</f>
        <v>永津　稜麻</v>
      </c>
      <c r="F187" s="5"/>
      <c r="G187" s="6"/>
      <c r="H187" s="6"/>
      <c r="I187" s="6"/>
      <c r="J187" s="6"/>
      <c r="K187" s="6"/>
      <c r="L187" s="6"/>
      <c r="M187" s="6"/>
      <c r="N187" s="6"/>
      <c r="O187" s="7"/>
    </row>
    <row r="188" spans="1:16" s="1" customFormat="1">
      <c r="C188" s="44">
        <f>IF(C181=6,5,IF(C180=5,4,IF(C179=4,3,IF(C178=3,3))))</f>
        <v>5</v>
      </c>
      <c r="D188" s="45" t="str">
        <f>IF(C188&gt;0,VLOOKUP(C188,C176:E181,2,FALSE),"")</f>
        <v>富山パレス</v>
      </c>
      <c r="E188" s="46" t="str">
        <f>IF(C188&gt;0,VLOOKUP(C188,C176:E181,3,FALSE),"")</f>
        <v>土田　龍也</v>
      </c>
      <c r="F188" s="8"/>
      <c r="G188" s="9"/>
      <c r="H188" s="9"/>
      <c r="I188" s="9"/>
      <c r="J188" s="9"/>
      <c r="K188" s="9"/>
      <c r="L188" s="9"/>
      <c r="M188" s="9"/>
      <c r="N188" s="9"/>
      <c r="O188" s="10"/>
    </row>
    <row r="189" spans="1:16" s="11" customFormat="1" ht="10.5">
      <c r="D189" s="47"/>
      <c r="E189" s="48"/>
    </row>
    <row r="190" spans="1:16" s="1" customFormat="1">
      <c r="A190" s="1">
        <v>3</v>
      </c>
      <c r="C190" s="41">
        <f>IF(C181=6,2,IF(C180=5,5,IF(C179=4,1,IF(C178=3,1))))</f>
        <v>2</v>
      </c>
      <c r="D190" s="42" t="str">
        <f>IF(C190&gt;0,VLOOKUP(C190,C176:E181,2,FALSE),"")</f>
        <v>速星中学校</v>
      </c>
      <c r="E190" s="43" t="str">
        <f>IF(C190&gt;0,VLOOKUP(C190,C176:E181,3,FALSE),"")</f>
        <v>小林　颯一</v>
      </c>
      <c r="F190" s="5"/>
      <c r="G190" s="6"/>
      <c r="H190" s="6"/>
      <c r="I190" s="6"/>
      <c r="J190" s="6"/>
      <c r="K190" s="6"/>
      <c r="L190" s="6"/>
      <c r="M190" s="6"/>
      <c r="N190" s="6"/>
      <c r="O190" s="7"/>
    </row>
    <row r="191" spans="1:16" s="1" customFormat="1">
      <c r="C191" s="44">
        <f>IF(C181=6,3,IF(C180=5,1,IF(C179=4,3,IF(C178=3,2))))</f>
        <v>3</v>
      </c>
      <c r="D191" s="45" t="str">
        <f>IF(C191&gt;0,VLOOKUP(C191,C176:E181,2,FALSE),"")</f>
        <v>滋賀ＪＦＣ</v>
      </c>
      <c r="E191" s="46" t="str">
        <f>IF(C191&gt;0,VLOOKUP(C191,C176:E181,3,FALSE),"")</f>
        <v>保知　純乃介</v>
      </c>
      <c r="F191" s="8"/>
      <c r="G191" s="9"/>
      <c r="H191" s="9"/>
      <c r="I191" s="9"/>
      <c r="J191" s="9"/>
      <c r="K191" s="9"/>
      <c r="L191" s="9"/>
      <c r="M191" s="9"/>
      <c r="N191" s="9"/>
      <c r="O191" s="10"/>
    </row>
    <row r="192" spans="1:16" s="11" customFormat="1" ht="10.5">
      <c r="C192" s="49"/>
      <c r="D192" s="50"/>
      <c r="E192" s="51"/>
      <c r="F192" s="12"/>
      <c r="G192" s="12"/>
      <c r="H192" s="12"/>
      <c r="I192" s="12"/>
      <c r="J192" s="12"/>
      <c r="K192" s="12"/>
      <c r="L192" s="12"/>
      <c r="M192" s="12"/>
      <c r="N192" s="12"/>
      <c r="O192" s="13"/>
    </row>
    <row r="193" spans="1:15" s="1" customFormat="1">
      <c r="A193" s="1">
        <v>4</v>
      </c>
      <c r="C193" s="41">
        <f>IF(C181=6,5,IF(C180=5,2,IF(C179=4,2,IF(C178=3,0,0))))</f>
        <v>5</v>
      </c>
      <c r="D193" s="42" t="str">
        <f>IF(C193&gt;0,VLOOKUP(C193,C176:E181,2,FALSE),"")</f>
        <v>富山パレス</v>
      </c>
      <c r="E193" s="43" t="str">
        <f>IF(C193&gt;0,VLOOKUP(C193,C176:E181,3,FALSE),"")</f>
        <v>土田　龍也</v>
      </c>
      <c r="F193" s="5"/>
      <c r="G193" s="6"/>
      <c r="H193" s="6"/>
      <c r="I193" s="6"/>
      <c r="J193" s="6"/>
      <c r="K193" s="6"/>
      <c r="L193" s="6"/>
      <c r="M193" s="6"/>
      <c r="N193" s="6"/>
      <c r="O193" s="7"/>
    </row>
    <row r="194" spans="1:15" s="1" customFormat="1">
      <c r="C194" s="44">
        <f>IF(C181=6,6,IF(C180=5,3,IF(C179=4,4,IF(C178=3,0,0))))</f>
        <v>6</v>
      </c>
      <c r="D194" s="45" t="str">
        <f>IF(C194&gt;0,VLOOKUP(C194,C176:E181,2,FALSE),"")</f>
        <v>杉並ジュニア</v>
      </c>
      <c r="E194" s="46" t="str">
        <f>IF(C194&gt;0,VLOOKUP(C194,C176:E181,3,FALSE),"")</f>
        <v>山﨑　貴史</v>
      </c>
      <c r="F194" s="8"/>
      <c r="G194" s="9"/>
      <c r="H194" s="9"/>
      <c r="I194" s="9"/>
      <c r="J194" s="9"/>
      <c r="K194" s="9"/>
      <c r="L194" s="9"/>
      <c r="M194" s="9"/>
      <c r="N194" s="9"/>
      <c r="O194" s="10"/>
    </row>
    <row r="195" spans="1:15" s="11" customFormat="1" ht="10.5">
      <c r="C195" s="49"/>
      <c r="D195" s="50"/>
      <c r="E195" s="51"/>
      <c r="F195" s="12"/>
      <c r="G195" s="12"/>
      <c r="H195" s="12"/>
      <c r="I195" s="12"/>
      <c r="J195" s="12"/>
      <c r="K195" s="12"/>
      <c r="L195" s="12"/>
      <c r="M195" s="12"/>
      <c r="N195" s="12"/>
      <c r="O195" s="13"/>
    </row>
    <row r="196" spans="1:15" s="1" customFormat="1">
      <c r="A196" s="1">
        <v>5</v>
      </c>
      <c r="C196" s="41">
        <f>IF(C181=6,3,IF(C180=5,5,IF(C179=4,3,IF(C178=3,0,0))))</f>
        <v>3</v>
      </c>
      <c r="D196" s="42" t="str">
        <f>IF(C196&gt;0,VLOOKUP(C196,C176:E181,2,FALSE),"")</f>
        <v>滋賀ＪＦＣ</v>
      </c>
      <c r="E196" s="43" t="str">
        <f>IF(C196&gt;0,VLOOKUP(C196,C176:E181,3,FALSE),"")</f>
        <v>保知　純乃介</v>
      </c>
      <c r="F196" s="5"/>
      <c r="G196" s="6"/>
      <c r="H196" s="6"/>
      <c r="I196" s="6"/>
      <c r="J196" s="6"/>
      <c r="K196" s="6"/>
      <c r="L196" s="6"/>
      <c r="M196" s="6"/>
      <c r="N196" s="6"/>
      <c r="O196" s="7"/>
    </row>
    <row r="197" spans="1:15" s="1" customFormat="1">
      <c r="C197" s="44">
        <f>IF(C181=6,1,IF(C180=5,4,IF(C179=4,4,IF(C178=3,0,0))))</f>
        <v>1</v>
      </c>
      <c r="D197" s="45" t="str">
        <f>IF(C197&gt;0,VLOOKUP(C197,C176:E181,2,FALSE),"")</f>
        <v>はしまモア</v>
      </c>
      <c r="E197" s="46" t="str">
        <f>IF(C197&gt;0,VLOOKUP(C197,C176:E181,3,FALSE),"")</f>
        <v>福田　亮介</v>
      </c>
      <c r="F197" s="8"/>
      <c r="G197" s="9"/>
      <c r="H197" s="9"/>
      <c r="I197" s="9"/>
      <c r="J197" s="9"/>
      <c r="K197" s="9"/>
      <c r="L197" s="9"/>
      <c r="M197" s="9"/>
      <c r="N197" s="9"/>
      <c r="O197" s="10"/>
    </row>
    <row r="198" spans="1:15" s="11" customFormat="1" ht="10.5">
      <c r="C198" s="49"/>
      <c r="D198" s="50"/>
      <c r="E198" s="51"/>
      <c r="F198" s="12"/>
      <c r="G198" s="12"/>
      <c r="H198" s="12"/>
      <c r="I198" s="12"/>
      <c r="J198" s="12"/>
      <c r="K198" s="12"/>
      <c r="L198" s="12"/>
      <c r="M198" s="12"/>
      <c r="N198" s="12"/>
      <c r="O198" s="13"/>
    </row>
    <row r="199" spans="1:15" s="1" customFormat="1">
      <c r="A199" s="1">
        <v>6</v>
      </c>
      <c r="C199" s="41">
        <f>IF(C181=6,6,IF(C180=5,1,IF(C179=4,1,IF(C178=3,0,0))))</f>
        <v>6</v>
      </c>
      <c r="D199" s="42" t="str">
        <f>IF(C199&gt;0,VLOOKUP(C199,C176:E181,2,FALSE),"")</f>
        <v>杉並ジュニア</v>
      </c>
      <c r="E199" s="43" t="str">
        <f>IF(C199&gt;0,VLOOKUP(C199,C176:E181,3,FALSE),"")</f>
        <v>山﨑　貴史</v>
      </c>
      <c r="F199" s="5"/>
      <c r="G199" s="6"/>
      <c r="H199" s="6"/>
      <c r="I199" s="6"/>
      <c r="J199" s="6"/>
      <c r="K199" s="6"/>
      <c r="L199" s="6"/>
      <c r="M199" s="6"/>
      <c r="N199" s="6"/>
      <c r="O199" s="7"/>
    </row>
    <row r="200" spans="1:15" s="1" customFormat="1">
      <c r="C200" s="44">
        <f>IF(C181=6,4,IF(C180=5,3,IF(C179=4,2,IF(C178=3,0,0))))</f>
        <v>4</v>
      </c>
      <c r="D200" s="45" t="str">
        <f>IF(C200&gt;0,VLOOKUP(C200,C176:E181,2,FALSE),"")</f>
        <v>愛工大付属</v>
      </c>
      <c r="E200" s="46" t="str">
        <f>IF(C200&gt;0,VLOOKUP(C200,C176:E181,3,FALSE),"")</f>
        <v>永津　稜麻</v>
      </c>
      <c r="F200" s="8"/>
      <c r="G200" s="9"/>
      <c r="H200" s="9"/>
      <c r="I200" s="9"/>
      <c r="J200" s="9"/>
      <c r="K200" s="9"/>
      <c r="L200" s="9"/>
      <c r="M200" s="9"/>
      <c r="N200" s="9"/>
      <c r="O200" s="10"/>
    </row>
    <row r="201" spans="1:15" s="11" customFormat="1" ht="10.5">
      <c r="C201" s="49"/>
      <c r="D201" s="50"/>
      <c r="E201" s="51"/>
      <c r="F201" s="12"/>
      <c r="G201" s="12"/>
      <c r="H201" s="12"/>
      <c r="I201" s="12"/>
      <c r="J201" s="12"/>
      <c r="K201" s="12"/>
      <c r="L201" s="12"/>
      <c r="M201" s="12"/>
      <c r="N201" s="12"/>
      <c r="O201" s="13"/>
    </row>
    <row r="202" spans="1:15" s="1" customFormat="1">
      <c r="A202" s="1">
        <v>7</v>
      </c>
      <c r="C202" s="41">
        <f>IF(C181=6,2,IF(C180=5,2,IF(C179=4,0,0)))</f>
        <v>2</v>
      </c>
      <c r="D202" s="42" t="str">
        <f>IF(C202&gt;0,VLOOKUP(C202,C176:E181,2,FALSE),"")</f>
        <v>速星中学校</v>
      </c>
      <c r="E202" s="43" t="str">
        <f>IF(C202&gt;0,VLOOKUP(C202,C176:E181,3,FALSE),"")</f>
        <v>小林　颯一</v>
      </c>
      <c r="F202" s="5"/>
      <c r="G202" s="6"/>
      <c r="H202" s="6"/>
      <c r="I202" s="6"/>
      <c r="J202" s="6"/>
      <c r="K202" s="6"/>
      <c r="L202" s="6"/>
      <c r="M202" s="6"/>
      <c r="N202" s="6"/>
      <c r="O202" s="7"/>
    </row>
    <row r="203" spans="1:15" s="1" customFormat="1">
      <c r="C203" s="44">
        <f>IF(C181=6,5,IF(C180=5,5,IF(C179=4,0,0)))</f>
        <v>5</v>
      </c>
      <c r="D203" s="45" t="str">
        <f>IF(C203&gt;0,VLOOKUP(C203,C176:E181,2,FALSE),"")</f>
        <v>富山パレス</v>
      </c>
      <c r="E203" s="46" t="str">
        <f>IF(C203&gt;0,VLOOKUP(C203,C176:E181,3,FALSE),"")</f>
        <v>土田　龍也</v>
      </c>
      <c r="F203" s="8"/>
      <c r="G203" s="9"/>
      <c r="H203" s="9"/>
      <c r="I203" s="9"/>
      <c r="J203" s="9"/>
      <c r="K203" s="9"/>
      <c r="L203" s="9"/>
      <c r="M203" s="9"/>
      <c r="N203" s="9"/>
      <c r="O203" s="10"/>
    </row>
    <row r="204" spans="1:15" s="11" customFormat="1" ht="10.5">
      <c r="C204" s="49"/>
      <c r="D204" s="50"/>
      <c r="E204" s="51"/>
      <c r="F204" s="12"/>
      <c r="G204" s="12"/>
      <c r="H204" s="12"/>
      <c r="I204" s="12"/>
      <c r="J204" s="12"/>
      <c r="K204" s="12"/>
      <c r="L204" s="12"/>
      <c r="M204" s="12"/>
      <c r="N204" s="12"/>
      <c r="O204" s="13"/>
    </row>
    <row r="205" spans="1:15" s="1" customFormat="1">
      <c r="A205" s="1">
        <v>8</v>
      </c>
      <c r="C205" s="41">
        <f>IF(C181=6,1,IF(C180=5,4,IF(C179=4,0,0)))</f>
        <v>1</v>
      </c>
      <c r="D205" s="42" t="str">
        <f>IF(C205&gt;0,VLOOKUP(C205,C176:E181,2,FALSE),"")</f>
        <v>はしまモア</v>
      </c>
      <c r="E205" s="43" t="str">
        <f>IF(C205&gt;0,VLOOKUP(C205,C176:E181,3,FALSE),"")</f>
        <v>福田　亮介</v>
      </c>
      <c r="F205" s="5"/>
      <c r="G205" s="6"/>
      <c r="H205" s="6"/>
      <c r="I205" s="6"/>
      <c r="J205" s="6"/>
      <c r="K205" s="6"/>
      <c r="L205" s="6"/>
      <c r="M205" s="6"/>
      <c r="N205" s="6"/>
      <c r="O205" s="7"/>
    </row>
    <row r="206" spans="1:15" s="1" customFormat="1">
      <c r="C206" s="44">
        <f>IF(C181=6,4,IF(C180=5,1,IF(C179=4,0,0)))</f>
        <v>4</v>
      </c>
      <c r="D206" s="45" t="str">
        <f>IF(C206&gt;0,VLOOKUP(C206,C176:E181,2,FALSE),"")</f>
        <v>愛工大付属</v>
      </c>
      <c r="E206" s="46" t="str">
        <f>IF(C206&gt;0,VLOOKUP(C206,C176:E181,3,FALSE),"")</f>
        <v>永津　稜麻</v>
      </c>
      <c r="F206" s="8"/>
      <c r="G206" s="9"/>
      <c r="H206" s="9"/>
      <c r="I206" s="9"/>
      <c r="J206" s="9"/>
      <c r="K206" s="9"/>
      <c r="L206" s="9"/>
      <c r="M206" s="9"/>
      <c r="N206" s="9"/>
      <c r="O206" s="10"/>
    </row>
    <row r="207" spans="1:15" s="11" customFormat="1" ht="10.5">
      <c r="C207" s="49"/>
      <c r="D207" s="50"/>
      <c r="E207" s="51"/>
      <c r="F207" s="12"/>
      <c r="G207" s="12"/>
      <c r="H207" s="12"/>
      <c r="I207" s="12"/>
      <c r="J207" s="12"/>
      <c r="K207" s="12"/>
      <c r="L207" s="12"/>
      <c r="M207" s="12"/>
      <c r="N207" s="12"/>
      <c r="O207" s="13"/>
    </row>
    <row r="208" spans="1:15" s="1" customFormat="1">
      <c r="A208" s="1">
        <v>9</v>
      </c>
      <c r="C208" s="41">
        <f>IF(C181=6,5,IF(C180=5,3,IF(C179=4,0,0)))</f>
        <v>5</v>
      </c>
      <c r="D208" s="42" t="str">
        <f>IF(C208&gt;0,VLOOKUP(C208,C176:E181,2,FALSE),"")</f>
        <v>富山パレス</v>
      </c>
      <c r="E208" s="43" t="str">
        <f>IF(C208&gt;0,VLOOKUP(C208,C176:E181,3,FALSE),"")</f>
        <v>土田　龍也</v>
      </c>
      <c r="F208" s="5"/>
      <c r="G208" s="6"/>
      <c r="H208" s="6"/>
      <c r="I208" s="6"/>
      <c r="J208" s="6"/>
      <c r="K208" s="6"/>
      <c r="L208" s="6"/>
      <c r="M208" s="6"/>
      <c r="N208" s="6"/>
      <c r="O208" s="7"/>
    </row>
    <row r="209" spans="1:15" s="1" customFormat="1">
      <c r="C209" s="44">
        <f>IF(C181=6,3,IF(C180=5,5,IF(C179=4,0,0)))</f>
        <v>3</v>
      </c>
      <c r="D209" s="45" t="str">
        <f>IF(C209&gt;0,VLOOKUP(C209,C176:E181,2,FALSE),"")</f>
        <v>滋賀ＪＦＣ</v>
      </c>
      <c r="E209" s="46" t="str">
        <f>IF(C209&gt;0,VLOOKUP(C209,C176:E181,3,FALSE),"")</f>
        <v>保知　純乃介</v>
      </c>
      <c r="F209" s="8"/>
      <c r="G209" s="9"/>
      <c r="H209" s="9"/>
      <c r="I209" s="9"/>
      <c r="J209" s="9"/>
      <c r="K209" s="9"/>
      <c r="L209" s="9"/>
      <c r="M209" s="9"/>
      <c r="N209" s="9"/>
      <c r="O209" s="10"/>
    </row>
    <row r="210" spans="1:15" s="11" customFormat="1" ht="10.5">
      <c r="C210" s="49"/>
      <c r="D210" s="50"/>
      <c r="E210" s="51"/>
      <c r="F210" s="12"/>
      <c r="G210" s="12"/>
      <c r="H210" s="12"/>
      <c r="I210" s="12"/>
      <c r="J210" s="12"/>
      <c r="K210" s="12"/>
      <c r="L210" s="12"/>
      <c r="M210" s="12"/>
      <c r="N210" s="12"/>
      <c r="O210" s="13"/>
    </row>
    <row r="211" spans="1:15" s="1" customFormat="1">
      <c r="A211" s="1">
        <v>10</v>
      </c>
      <c r="C211" s="41">
        <f>IF(C181=6,1,IF(C180=5,4,IF(C179=4,0,0)))</f>
        <v>1</v>
      </c>
      <c r="D211" s="42" t="str">
        <f>IF(C211&gt;0,VLOOKUP(C211,C176:E181,2,FALSE),"")</f>
        <v>はしまモア</v>
      </c>
      <c r="E211" s="43" t="str">
        <f>IF(C211&gt;0,VLOOKUP(C211,C176:E181,3,FALSE),"")</f>
        <v>福田　亮介</v>
      </c>
      <c r="F211" s="5"/>
      <c r="G211" s="6"/>
      <c r="H211" s="6"/>
      <c r="I211" s="6"/>
      <c r="J211" s="6"/>
      <c r="K211" s="6"/>
      <c r="L211" s="6"/>
      <c r="M211" s="6"/>
      <c r="N211" s="6"/>
      <c r="O211" s="7"/>
    </row>
    <row r="212" spans="1:15" s="1" customFormat="1">
      <c r="C212" s="44">
        <f>IF(C181=6,6,IF(C180=5,2,IF(C179=4,0,0)))</f>
        <v>6</v>
      </c>
      <c r="D212" s="45" t="str">
        <f>IF(C212&gt;0,VLOOKUP(C212,C176:E181,2,FALSE),"")</f>
        <v>杉並ジュニア</v>
      </c>
      <c r="E212" s="46" t="str">
        <f>IF(C212&gt;0,VLOOKUP(C212,C176:E181,3,FALSE),"")</f>
        <v>山﨑　貴史</v>
      </c>
      <c r="F212" s="8"/>
      <c r="G212" s="9"/>
      <c r="H212" s="9"/>
      <c r="I212" s="9"/>
      <c r="J212" s="9"/>
      <c r="K212" s="9"/>
      <c r="L212" s="9"/>
      <c r="M212" s="9"/>
      <c r="N212" s="9"/>
      <c r="O212" s="10"/>
    </row>
    <row r="213" spans="1:15" s="11" customFormat="1" ht="10.5">
      <c r="C213" s="49"/>
      <c r="D213" s="50"/>
      <c r="E213" s="51"/>
      <c r="F213" s="12"/>
      <c r="G213" s="12"/>
      <c r="H213" s="12"/>
      <c r="I213" s="12"/>
      <c r="J213" s="12"/>
      <c r="K213" s="12"/>
      <c r="L213" s="12"/>
      <c r="M213" s="12"/>
      <c r="N213" s="12"/>
      <c r="O213" s="13"/>
    </row>
    <row r="214" spans="1:15" s="1" customFormat="1">
      <c r="A214" s="1">
        <v>11</v>
      </c>
      <c r="C214" s="41">
        <f>IF(C181=6,4,0)</f>
        <v>4</v>
      </c>
      <c r="D214" s="42" t="str">
        <f>IF(C214&gt;0,VLOOKUP(C214,C176:E181,2,FALSE),"")</f>
        <v>愛工大付属</v>
      </c>
      <c r="E214" s="43" t="str">
        <f>IF(C214&gt;0,VLOOKUP(C214,C176:E181,3,FALSE),"")</f>
        <v>永津　稜麻</v>
      </c>
      <c r="F214" s="5"/>
      <c r="G214" s="6"/>
      <c r="H214" s="6"/>
      <c r="I214" s="6"/>
      <c r="J214" s="6"/>
      <c r="K214" s="6"/>
      <c r="L214" s="6"/>
      <c r="M214" s="6"/>
      <c r="N214" s="6"/>
      <c r="O214" s="7"/>
    </row>
    <row r="215" spans="1:15" s="1" customFormat="1">
      <c r="C215" s="44">
        <f>IF(C181=6,2,0)</f>
        <v>2</v>
      </c>
      <c r="D215" s="45" t="str">
        <f>IF(C215&gt;0,VLOOKUP(C215,C176:E181,2,FALSE),"")</f>
        <v>速星中学校</v>
      </c>
      <c r="E215" s="46" t="str">
        <f>IF(C215&gt;0,VLOOKUP(C215,C176:E181,3,FALSE),"")</f>
        <v>小林　颯一</v>
      </c>
      <c r="F215" s="8"/>
      <c r="G215" s="9"/>
      <c r="H215" s="9"/>
      <c r="I215" s="9"/>
      <c r="J215" s="9"/>
      <c r="K215" s="9"/>
      <c r="L215" s="9"/>
      <c r="M215" s="9"/>
      <c r="N215" s="9"/>
      <c r="O215" s="10"/>
    </row>
    <row r="216" spans="1:15" s="11" customFormat="1" ht="10.5">
      <c r="C216" s="49"/>
      <c r="D216" s="50"/>
      <c r="E216" s="51"/>
      <c r="F216" s="12"/>
      <c r="G216" s="12"/>
      <c r="H216" s="12"/>
      <c r="I216" s="12"/>
      <c r="J216" s="12"/>
      <c r="K216" s="12"/>
      <c r="L216" s="12"/>
      <c r="M216" s="12"/>
      <c r="N216" s="12"/>
      <c r="O216" s="13"/>
    </row>
    <row r="217" spans="1:15" s="1" customFormat="1">
      <c r="A217" s="1">
        <v>12</v>
      </c>
      <c r="C217" s="41">
        <f>IF(C181=6,3,0)</f>
        <v>3</v>
      </c>
      <c r="D217" s="42" t="str">
        <f>IF(C217&gt;0,VLOOKUP(C217,C176:E181,2,FALSE),"")</f>
        <v>滋賀ＪＦＣ</v>
      </c>
      <c r="E217" s="43" t="str">
        <f>IF(C217&gt;0,VLOOKUP(C217,C176:E181,3,FALSE),"")</f>
        <v>保知　純乃介</v>
      </c>
      <c r="F217" s="5"/>
      <c r="G217" s="6"/>
      <c r="H217" s="6"/>
      <c r="I217" s="6"/>
      <c r="J217" s="6"/>
      <c r="K217" s="6"/>
      <c r="L217" s="6"/>
      <c r="M217" s="6"/>
      <c r="N217" s="6"/>
      <c r="O217" s="7"/>
    </row>
    <row r="218" spans="1:15" s="1" customFormat="1" ht="13.5" customHeight="1">
      <c r="C218" s="44">
        <f>IF(C181=6,6,0)</f>
        <v>6</v>
      </c>
      <c r="D218" s="45" t="str">
        <f>IF(C218&gt;0,VLOOKUP(C218,C176:E181,2,FALSE),"")</f>
        <v>杉並ジュニア</v>
      </c>
      <c r="E218" s="46" t="str">
        <f>IF(C218&gt;0,VLOOKUP(C218,C176:E181,3,FALSE),"")</f>
        <v>山﨑　貴史</v>
      </c>
      <c r="F218" s="8"/>
      <c r="G218" s="9"/>
      <c r="H218" s="9"/>
      <c r="I218" s="9"/>
      <c r="J218" s="9"/>
      <c r="K218" s="9"/>
      <c r="L218" s="9"/>
      <c r="M218" s="9"/>
      <c r="N218" s="9"/>
      <c r="O218" s="10"/>
    </row>
    <row r="219" spans="1:15" s="11" customFormat="1" ht="10.5">
      <c r="C219" s="49"/>
      <c r="D219" s="50"/>
      <c r="E219" s="51"/>
      <c r="F219" s="12"/>
      <c r="G219" s="12"/>
      <c r="H219" s="12"/>
      <c r="I219" s="12"/>
      <c r="J219" s="12"/>
      <c r="K219" s="12"/>
      <c r="L219" s="12"/>
      <c r="M219" s="12"/>
      <c r="N219" s="12"/>
      <c r="O219" s="13"/>
    </row>
    <row r="220" spans="1:15" s="1" customFormat="1">
      <c r="A220" s="1">
        <v>13</v>
      </c>
      <c r="C220" s="41">
        <f>IF(C181=6,5,0)</f>
        <v>5</v>
      </c>
      <c r="D220" s="42" t="str">
        <f>IF(C220&gt;0,VLOOKUP(C220,C176:E181,2,FALSE),"")</f>
        <v>富山パレス</v>
      </c>
      <c r="E220" s="43" t="str">
        <f>IF(C220&gt;0,VLOOKUP(C220,C176:E181,3,FALSE),"")</f>
        <v>土田　龍也</v>
      </c>
      <c r="F220" s="5"/>
      <c r="G220" s="6"/>
      <c r="H220" s="6"/>
      <c r="I220" s="6"/>
      <c r="J220" s="6"/>
      <c r="K220" s="6"/>
      <c r="L220" s="6"/>
      <c r="M220" s="6"/>
      <c r="N220" s="6"/>
      <c r="O220" s="7"/>
    </row>
    <row r="221" spans="1:15" s="1" customFormat="1">
      <c r="C221" s="44">
        <f>IF(C181=6,1,0)</f>
        <v>1</v>
      </c>
      <c r="D221" s="45" t="str">
        <f>IF(C221&gt;0,VLOOKUP(C221,C176:E181,2,FALSE),"")</f>
        <v>はしまモア</v>
      </c>
      <c r="E221" s="46" t="str">
        <f>IF(C221&gt;0,VLOOKUP(C221,C176:E181,3,FALSE),"")</f>
        <v>福田　亮介</v>
      </c>
      <c r="F221" s="8"/>
      <c r="G221" s="9"/>
      <c r="H221" s="9"/>
      <c r="I221" s="9"/>
      <c r="J221" s="9"/>
      <c r="K221" s="9"/>
      <c r="L221" s="9"/>
      <c r="M221" s="9"/>
      <c r="N221" s="9"/>
      <c r="O221" s="10"/>
    </row>
    <row r="222" spans="1:15" s="11" customFormat="1" ht="10.5">
      <c r="C222" s="49"/>
      <c r="D222" s="50"/>
      <c r="E222" s="51"/>
      <c r="F222" s="12"/>
      <c r="G222" s="12"/>
      <c r="H222" s="12"/>
      <c r="I222" s="12"/>
      <c r="J222" s="12"/>
      <c r="K222" s="12"/>
      <c r="L222" s="12"/>
      <c r="M222" s="12"/>
      <c r="N222" s="12"/>
      <c r="O222" s="13"/>
    </row>
    <row r="223" spans="1:15" s="1" customFormat="1">
      <c r="A223" s="1">
        <v>14</v>
      </c>
      <c r="C223" s="41">
        <f>IF(C181=6,3,0)</f>
        <v>3</v>
      </c>
      <c r="D223" s="42" t="str">
        <f>IF(C223&gt;0,VLOOKUP(C223,C176:E181,2,FALSE),"")</f>
        <v>滋賀ＪＦＣ</v>
      </c>
      <c r="E223" s="43" t="str">
        <f>IF(C223&gt;0,VLOOKUP(C223,C176:E181,3,FALSE),"")</f>
        <v>保知　純乃介</v>
      </c>
      <c r="F223" s="5"/>
      <c r="G223" s="6"/>
      <c r="H223" s="6"/>
      <c r="I223" s="6"/>
      <c r="J223" s="6"/>
      <c r="K223" s="6"/>
      <c r="L223" s="6"/>
      <c r="M223" s="6"/>
      <c r="N223" s="6"/>
      <c r="O223" s="7"/>
    </row>
    <row r="224" spans="1:15" s="1" customFormat="1">
      <c r="C224" s="44">
        <f>IF(C181=6,4,0)</f>
        <v>4</v>
      </c>
      <c r="D224" s="45" t="str">
        <f>IF(C224&gt;0,VLOOKUP(C224,C176:E181,2,FALSE),"")</f>
        <v>愛工大付属</v>
      </c>
      <c r="E224" s="46" t="str">
        <f>IF(C224&gt;0,VLOOKUP(C224,C176:E181,3,FALSE),"")</f>
        <v>永津　稜麻</v>
      </c>
      <c r="F224" s="8"/>
      <c r="G224" s="9"/>
      <c r="H224" s="9"/>
      <c r="I224" s="9"/>
      <c r="J224" s="9"/>
      <c r="K224" s="9"/>
      <c r="L224" s="9"/>
      <c r="M224" s="9"/>
      <c r="N224" s="9"/>
      <c r="O224" s="10"/>
    </row>
    <row r="225" spans="1:16" s="11" customFormat="1" ht="10.5">
      <c r="C225" s="49"/>
      <c r="D225" s="50"/>
      <c r="E225" s="51"/>
      <c r="F225" s="12"/>
      <c r="G225" s="12"/>
      <c r="H225" s="12"/>
      <c r="I225" s="12"/>
      <c r="J225" s="12"/>
      <c r="K225" s="12"/>
      <c r="L225" s="12"/>
      <c r="M225" s="12"/>
      <c r="N225" s="12"/>
      <c r="O225" s="13"/>
    </row>
    <row r="226" spans="1:16" s="1" customFormat="1">
      <c r="A226" s="1">
        <v>15</v>
      </c>
      <c r="C226" s="41">
        <f>IF(C181=6,6,0)</f>
        <v>6</v>
      </c>
      <c r="D226" s="42" t="str">
        <f>IF(C226&gt;0,VLOOKUP(C226,C176:E181,2,FALSE),"")</f>
        <v>杉並ジュニア</v>
      </c>
      <c r="E226" s="43" t="str">
        <f>IF(C226&gt;0,VLOOKUP(C226,C176:E181,3,FALSE),"")</f>
        <v>山﨑　貴史</v>
      </c>
      <c r="F226" s="5"/>
      <c r="G226" s="6"/>
      <c r="H226" s="6"/>
      <c r="I226" s="6"/>
      <c r="J226" s="6"/>
      <c r="K226" s="6"/>
      <c r="L226" s="6"/>
      <c r="M226" s="6"/>
      <c r="N226" s="6"/>
      <c r="O226" s="7"/>
    </row>
    <row r="227" spans="1:16" s="1" customFormat="1">
      <c r="C227" s="44">
        <f>IF(C181=6,2,0)</f>
        <v>2</v>
      </c>
      <c r="D227" s="45" t="str">
        <f>IF(C227&gt;0,VLOOKUP(C227,C176:E181,2,FALSE),"")</f>
        <v>速星中学校</v>
      </c>
      <c r="E227" s="46" t="str">
        <f>IF(C227&gt;0,VLOOKUP(C227,C176:E181,3,FALSE),"")</f>
        <v>小林　颯一</v>
      </c>
      <c r="F227" s="8"/>
      <c r="G227" s="9"/>
      <c r="H227" s="9"/>
      <c r="I227" s="9"/>
      <c r="J227" s="9"/>
      <c r="K227" s="9"/>
      <c r="L227" s="9"/>
      <c r="M227" s="9"/>
      <c r="N227" s="9"/>
      <c r="O227" s="10"/>
    </row>
    <row r="228" spans="1:16" s="104" customFormat="1" ht="10.5">
      <c r="C228" s="107"/>
      <c r="D228" s="52"/>
      <c r="E228" s="53"/>
      <c r="F228" s="108"/>
      <c r="G228" s="108"/>
      <c r="H228" s="108"/>
      <c r="I228" s="108"/>
      <c r="J228" s="108"/>
      <c r="K228" s="108"/>
      <c r="L228" s="108"/>
      <c r="M228" s="108"/>
      <c r="N228" s="108"/>
      <c r="O228" s="109"/>
    </row>
    <row r="229" spans="1:16" s="57" customFormat="1" ht="17.25">
      <c r="A229" s="321" t="str">
        <f>名簿!$A$1</f>
        <v>第9回川本杯はしまモアフェンシング大会</v>
      </c>
      <c r="B229" s="321"/>
      <c r="C229" s="321"/>
      <c r="D229" s="321"/>
      <c r="E229" s="321"/>
      <c r="F229" s="321"/>
      <c r="G229" s="321"/>
      <c r="H229" s="321"/>
      <c r="I229" s="321"/>
      <c r="J229" s="321"/>
      <c r="K229" s="268" t="s">
        <v>72</v>
      </c>
      <c r="L229" s="322" t="s">
        <v>73</v>
      </c>
      <c r="M229" s="322"/>
      <c r="N229" s="322"/>
      <c r="O229" s="323"/>
    </row>
    <row r="230" spans="1:16" s="58" customFormat="1" ht="14.25">
      <c r="A230" s="318" t="str">
        <f>"　"&amp;名簿!$A$2</f>
        <v>　中学男子</v>
      </c>
      <c r="B230" s="318"/>
      <c r="C230" s="318"/>
      <c r="D230" s="318"/>
      <c r="E230" s="318"/>
      <c r="F230" s="318"/>
      <c r="G230" s="318"/>
      <c r="H230" s="318"/>
      <c r="I230" s="318"/>
      <c r="J230" s="318"/>
      <c r="K230" s="269"/>
      <c r="L230" s="319" t="s">
        <v>74</v>
      </c>
      <c r="M230" s="319"/>
      <c r="N230" s="319"/>
      <c r="O230" s="320"/>
    </row>
    <row r="231" spans="1:16" s="58" customFormat="1" ht="14.25">
      <c r="A231" s="314" t="str">
        <f>"　　"&amp;名簿!$A$3</f>
        <v>　　1回戦</v>
      </c>
      <c r="B231" s="314"/>
      <c r="C231" s="314"/>
      <c r="D231" s="314"/>
      <c r="E231" s="314"/>
      <c r="K231" s="315">
        <f>名簿!$E$3</f>
        <v>43184</v>
      </c>
      <c r="L231" s="315"/>
      <c r="M231" s="315"/>
      <c r="N231" s="315"/>
      <c r="O231" s="315"/>
    </row>
    <row r="232" spans="1:16">
      <c r="A232" s="59" t="s">
        <v>57</v>
      </c>
      <c r="B232" s="60" t="s">
        <v>13</v>
      </c>
      <c r="C232" s="61" t="s">
        <v>0</v>
      </c>
      <c r="D232" s="62" t="s">
        <v>7</v>
      </c>
      <c r="E232" s="63" t="s">
        <v>8</v>
      </c>
      <c r="F232" s="64">
        <v>1</v>
      </c>
      <c r="G232" s="65">
        <v>2</v>
      </c>
      <c r="H232" s="65">
        <v>3</v>
      </c>
      <c r="I232" s="65">
        <v>4</v>
      </c>
      <c r="J232" s="65">
        <v>5</v>
      </c>
      <c r="K232" s="66">
        <v>6</v>
      </c>
      <c r="L232" s="67" t="s">
        <v>58</v>
      </c>
      <c r="M232" s="68" t="s">
        <v>59</v>
      </c>
      <c r="N232" s="316" t="s">
        <v>6</v>
      </c>
      <c r="O232" s="317"/>
      <c r="P232" s="69"/>
    </row>
    <row r="233" spans="1:16" ht="18" customHeight="1">
      <c r="A233" s="71">
        <f>'予選 Ｐ'!A29</f>
        <v>5</v>
      </c>
      <c r="B233" s="72">
        <f>'予選 Ｐ'!B29</f>
        <v>5</v>
      </c>
      <c r="C233" s="73">
        <f>'予選 Ｐ'!C29</f>
        <v>1</v>
      </c>
      <c r="D233" s="34" t="str">
        <f>'予選 Ｐ'!E29</f>
        <v>箕輪中学校</v>
      </c>
      <c r="E233" s="35" t="str">
        <f>'予選 Ｐ'!F29</f>
        <v>中村　健人</v>
      </c>
      <c r="F233" s="74"/>
      <c r="G233" s="75"/>
      <c r="H233" s="75"/>
      <c r="I233" s="75"/>
      <c r="J233" s="75"/>
      <c r="K233" s="76"/>
      <c r="L233" s="77"/>
      <c r="M233" s="78"/>
      <c r="N233" s="79"/>
      <c r="O233" s="80"/>
      <c r="P233" s="81"/>
    </row>
    <row r="234" spans="1:16" ht="18" customHeight="1">
      <c r="A234" s="82">
        <f>'予選 Ｐ'!A30</f>
        <v>5</v>
      </c>
      <c r="B234" s="83">
        <f>'予選 Ｐ'!B30</f>
        <v>14</v>
      </c>
      <c r="C234" s="84">
        <f>'予選 Ｐ'!C30</f>
        <v>2</v>
      </c>
      <c r="D234" s="36" t="str">
        <f>'予選 Ｐ'!E30</f>
        <v>速星中学校</v>
      </c>
      <c r="E234" s="35" t="str">
        <f>'予選 Ｐ'!F30</f>
        <v>濱崎　隼十</v>
      </c>
      <c r="F234" s="85"/>
      <c r="G234" s="86"/>
      <c r="H234" s="87"/>
      <c r="I234" s="87"/>
      <c r="J234" s="87"/>
      <c r="K234" s="88"/>
      <c r="L234" s="89"/>
      <c r="M234" s="90"/>
      <c r="N234" s="91"/>
      <c r="O234" s="92"/>
      <c r="P234" s="81"/>
    </row>
    <row r="235" spans="1:16" ht="18" customHeight="1">
      <c r="A235" s="82">
        <f>'予選 Ｐ'!A31</f>
        <v>5</v>
      </c>
      <c r="B235" s="83">
        <f>'予選 Ｐ'!B31</f>
        <v>23</v>
      </c>
      <c r="C235" s="84">
        <f>'予選 Ｐ'!C31</f>
        <v>3</v>
      </c>
      <c r="D235" s="36" t="str">
        <f>'予選 Ｐ'!E31</f>
        <v>アレ　フェンシング</v>
      </c>
      <c r="E235" s="35" t="str">
        <f>'予選 Ｐ'!F31</f>
        <v>古市　直大</v>
      </c>
      <c r="F235" s="85"/>
      <c r="G235" s="87"/>
      <c r="H235" s="86"/>
      <c r="I235" s="87"/>
      <c r="J235" s="87"/>
      <c r="K235" s="88"/>
      <c r="L235" s="89"/>
      <c r="M235" s="90"/>
      <c r="N235" s="91"/>
      <c r="O235" s="92"/>
      <c r="P235" s="81"/>
    </row>
    <row r="236" spans="1:16" ht="18" customHeight="1">
      <c r="A236" s="82">
        <f>'予選 Ｐ'!A32</f>
        <v>5</v>
      </c>
      <c r="B236" s="83">
        <f>IF('予選 Ｐ'!B32="","",'予選 Ｐ'!B32)</f>
        <v>32</v>
      </c>
      <c r="C236" s="84">
        <f>'予選 Ｐ'!C32</f>
        <v>4</v>
      </c>
      <c r="D236" s="36" t="str">
        <f>'予選 Ｐ'!E32</f>
        <v>愛工大付属</v>
      </c>
      <c r="E236" s="35" t="str">
        <f>'予選 Ｐ'!F32</f>
        <v>堀　智貴</v>
      </c>
      <c r="F236" s="85"/>
      <c r="G236" s="87"/>
      <c r="H236" s="87"/>
      <c r="I236" s="86"/>
      <c r="J236" s="87"/>
      <c r="K236" s="88"/>
      <c r="L236" s="89"/>
      <c r="M236" s="90"/>
      <c r="N236" s="91"/>
      <c r="O236" s="92"/>
      <c r="P236" s="81"/>
    </row>
    <row r="237" spans="1:16" ht="18" customHeight="1">
      <c r="A237" s="82">
        <f>'予選 Ｐ'!A33</f>
        <v>5</v>
      </c>
      <c r="B237" s="83">
        <f>IF('予選 Ｐ'!B33="","",'予選 Ｐ'!B33)</f>
        <v>41</v>
      </c>
      <c r="C237" s="84">
        <f>'予選 Ｐ'!C33</f>
        <v>5</v>
      </c>
      <c r="D237" s="36" t="str">
        <f>'予選 Ｐ'!E33</f>
        <v>富山パレス</v>
      </c>
      <c r="E237" s="35" t="str">
        <f>'予選 Ｐ'!F33</f>
        <v>篠田　真吾</v>
      </c>
      <c r="F237" s="85"/>
      <c r="G237" s="87"/>
      <c r="H237" s="87"/>
      <c r="I237" s="87"/>
      <c r="J237" s="86"/>
      <c r="K237" s="88"/>
      <c r="L237" s="89"/>
      <c r="M237" s="90"/>
      <c r="N237" s="91"/>
      <c r="O237" s="92"/>
      <c r="P237" s="81"/>
    </row>
    <row r="238" spans="1:16" ht="18" customHeight="1">
      <c r="A238" s="93">
        <f>'予選 Ｐ'!A34</f>
        <v>5</v>
      </c>
      <c r="B238" s="94">
        <f>IF('予選 Ｐ'!B34="","",'予選 Ｐ'!B34)</f>
        <v>45</v>
      </c>
      <c r="C238" s="95">
        <f>'予選 Ｐ'!C34</f>
        <v>6</v>
      </c>
      <c r="D238" s="37" t="str">
        <f>'予選 Ｐ'!E34</f>
        <v>大垣クラブ</v>
      </c>
      <c r="E238" s="96" t="str">
        <f>'予選 Ｐ'!F34</f>
        <v>國枝　契太</v>
      </c>
      <c r="F238" s="97"/>
      <c r="G238" s="98"/>
      <c r="H238" s="98"/>
      <c r="I238" s="98"/>
      <c r="J238" s="98"/>
      <c r="K238" s="99"/>
      <c r="L238" s="100"/>
      <c r="M238" s="101"/>
      <c r="N238" s="102"/>
      <c r="O238" s="103"/>
      <c r="P238" s="81"/>
    </row>
    <row r="239" spans="1:16" s="104" customFormat="1" ht="10.5">
      <c r="D239" s="105"/>
      <c r="E239" s="106"/>
    </row>
    <row r="240" spans="1:16" s="1" customFormat="1">
      <c r="C240" s="38" t="s">
        <v>37</v>
      </c>
      <c r="D240" s="39" t="s">
        <v>16</v>
      </c>
      <c r="E240" s="40" t="s">
        <v>8</v>
      </c>
      <c r="F240" s="2">
        <v>1</v>
      </c>
      <c r="G240" s="3">
        <v>2</v>
      </c>
      <c r="H240" s="3">
        <v>3</v>
      </c>
      <c r="I240" s="3">
        <v>4</v>
      </c>
      <c r="J240" s="3">
        <v>5</v>
      </c>
      <c r="K240" s="3">
        <v>6</v>
      </c>
      <c r="L240" s="3">
        <v>7</v>
      </c>
      <c r="M240" s="3">
        <v>8</v>
      </c>
      <c r="N240" s="3">
        <v>9</v>
      </c>
      <c r="O240" s="4" t="s">
        <v>5</v>
      </c>
    </row>
    <row r="241" spans="1:15" s="1" customFormat="1">
      <c r="A241" s="1">
        <v>1</v>
      </c>
      <c r="C241" s="41">
        <v>1</v>
      </c>
      <c r="D241" s="42" t="str">
        <f>IF(C241&gt;0,VLOOKUP(C241,C233:E238,2,FALSE),"")</f>
        <v>箕輪中学校</v>
      </c>
      <c r="E241" s="43" t="str">
        <f>IF(C241&gt;0,VLOOKUP(C241,C233:E238,3,FALSE),"")</f>
        <v>中村　健人</v>
      </c>
      <c r="F241" s="5"/>
      <c r="G241" s="6"/>
      <c r="H241" s="6"/>
      <c r="I241" s="6"/>
      <c r="J241" s="6"/>
      <c r="K241" s="6"/>
      <c r="L241" s="6"/>
      <c r="M241" s="6"/>
      <c r="N241" s="6"/>
      <c r="O241" s="7"/>
    </row>
    <row r="242" spans="1:15" s="1" customFormat="1">
      <c r="C242" s="44">
        <f>IF(C238=6,2,IF(C237=5,2,IF(C236=4,4,IF(C235=3,3))))</f>
        <v>2</v>
      </c>
      <c r="D242" s="45" t="str">
        <f>IF(C242&gt;0,VLOOKUP(C242,C233:E238,2,FALSE),"")</f>
        <v>速星中学校</v>
      </c>
      <c r="E242" s="46" t="str">
        <f>IF(C242&gt;0,VLOOKUP(C242,C233:E238,3,FALSE),"")</f>
        <v>濱崎　隼十</v>
      </c>
      <c r="F242" s="8"/>
      <c r="G242" s="9"/>
      <c r="H242" s="9"/>
      <c r="I242" s="9"/>
      <c r="J242" s="9"/>
      <c r="K242" s="9"/>
      <c r="L242" s="9"/>
      <c r="M242" s="9"/>
      <c r="N242" s="9"/>
      <c r="O242" s="10"/>
    </row>
    <row r="243" spans="1:15" s="11" customFormat="1" ht="10.5">
      <c r="D243" s="47"/>
      <c r="E243" s="48"/>
    </row>
    <row r="244" spans="1:15" s="1" customFormat="1">
      <c r="A244" s="1">
        <v>2</v>
      </c>
      <c r="C244" s="41">
        <f>IF(C238=6,4,IF(C237=5,3,IF(C236=4,2,IF(C235=3,2))))</f>
        <v>4</v>
      </c>
      <c r="D244" s="42" t="str">
        <f>IF(C244&gt;0,VLOOKUP(C244,C233:E238,2,FALSE),"")</f>
        <v>愛工大付属</v>
      </c>
      <c r="E244" s="43" t="str">
        <f>IF(C244&gt;0,VLOOKUP(C244,C233:E238,3,FALSE),"")</f>
        <v>堀　智貴</v>
      </c>
      <c r="F244" s="5"/>
      <c r="G244" s="6"/>
      <c r="H244" s="6"/>
      <c r="I244" s="6"/>
      <c r="J244" s="6"/>
      <c r="K244" s="6"/>
      <c r="L244" s="6"/>
      <c r="M244" s="6"/>
      <c r="N244" s="6"/>
      <c r="O244" s="7"/>
    </row>
    <row r="245" spans="1:15" s="1" customFormat="1">
      <c r="C245" s="44">
        <f>IF(C238=6,5,IF(C237=5,4,IF(C236=4,3,IF(C235=3,3))))</f>
        <v>5</v>
      </c>
      <c r="D245" s="45" t="str">
        <f>IF(C245&gt;0,VLOOKUP(C245,C233:E238,2,FALSE),"")</f>
        <v>富山パレス</v>
      </c>
      <c r="E245" s="46" t="str">
        <f>IF(C245&gt;0,VLOOKUP(C245,C233:E238,3,FALSE),"")</f>
        <v>篠田　真吾</v>
      </c>
      <c r="F245" s="8"/>
      <c r="G245" s="9"/>
      <c r="H245" s="9"/>
      <c r="I245" s="9"/>
      <c r="J245" s="9"/>
      <c r="K245" s="9"/>
      <c r="L245" s="9"/>
      <c r="M245" s="9"/>
      <c r="N245" s="9"/>
      <c r="O245" s="10"/>
    </row>
    <row r="246" spans="1:15" s="11" customFormat="1" ht="10.5">
      <c r="D246" s="47"/>
      <c r="E246" s="48"/>
    </row>
    <row r="247" spans="1:15" s="1" customFormat="1">
      <c r="A247" s="1">
        <v>3</v>
      </c>
      <c r="C247" s="41">
        <f>IF(C238=6,2,IF(C237=5,5,IF(C236=4,1,IF(C235=3,1))))</f>
        <v>2</v>
      </c>
      <c r="D247" s="42" t="str">
        <f>IF(C247&gt;0,VLOOKUP(C247,C233:E238,2,FALSE),"")</f>
        <v>速星中学校</v>
      </c>
      <c r="E247" s="43" t="str">
        <f>IF(C247&gt;0,VLOOKUP(C247,C233:E238,3,FALSE),"")</f>
        <v>濱崎　隼十</v>
      </c>
      <c r="F247" s="5"/>
      <c r="G247" s="6"/>
      <c r="H247" s="6"/>
      <c r="I247" s="6"/>
      <c r="J247" s="6"/>
      <c r="K247" s="6"/>
      <c r="L247" s="6"/>
      <c r="M247" s="6"/>
      <c r="N247" s="6"/>
      <c r="O247" s="7"/>
    </row>
    <row r="248" spans="1:15" s="1" customFormat="1">
      <c r="C248" s="44">
        <f>IF(C238=6,3,IF(C237=5,1,IF(C236=4,3,IF(C235=3,2))))</f>
        <v>3</v>
      </c>
      <c r="D248" s="45" t="str">
        <f>IF(C248&gt;0,VLOOKUP(C248,C233:E238,2,FALSE),"")</f>
        <v>アレ　フェンシング</v>
      </c>
      <c r="E248" s="46" t="str">
        <f>IF(C248&gt;0,VLOOKUP(C248,C233:E238,3,FALSE),"")</f>
        <v>古市　直大</v>
      </c>
      <c r="F248" s="8"/>
      <c r="G248" s="9"/>
      <c r="H248" s="9"/>
      <c r="I248" s="9"/>
      <c r="J248" s="9"/>
      <c r="K248" s="9"/>
      <c r="L248" s="9"/>
      <c r="M248" s="9"/>
      <c r="N248" s="9"/>
      <c r="O248" s="10"/>
    </row>
    <row r="249" spans="1:15" s="11" customFormat="1" ht="10.5">
      <c r="C249" s="49"/>
      <c r="D249" s="50"/>
      <c r="E249" s="51"/>
      <c r="F249" s="12"/>
      <c r="G249" s="12"/>
      <c r="H249" s="12"/>
      <c r="I249" s="12"/>
      <c r="J249" s="12"/>
      <c r="K249" s="12"/>
      <c r="L249" s="12"/>
      <c r="M249" s="12"/>
      <c r="N249" s="12"/>
      <c r="O249" s="13"/>
    </row>
    <row r="250" spans="1:15" s="1" customFormat="1">
      <c r="A250" s="1">
        <v>4</v>
      </c>
      <c r="C250" s="41">
        <f>IF(C238=6,5,IF(C237=5,2,IF(C236=4,2,IF(C235=3,0,0))))</f>
        <v>5</v>
      </c>
      <c r="D250" s="42" t="str">
        <f>IF(C250&gt;0,VLOOKUP(C250,C233:E238,2,FALSE),"")</f>
        <v>富山パレス</v>
      </c>
      <c r="E250" s="43" t="str">
        <f>IF(C250&gt;0,VLOOKUP(C250,C233:E238,3,FALSE),"")</f>
        <v>篠田　真吾</v>
      </c>
      <c r="F250" s="5"/>
      <c r="G250" s="6"/>
      <c r="H250" s="6"/>
      <c r="I250" s="6"/>
      <c r="J250" s="6"/>
      <c r="K250" s="6"/>
      <c r="L250" s="6"/>
      <c r="M250" s="6"/>
      <c r="N250" s="6"/>
      <c r="O250" s="7"/>
    </row>
    <row r="251" spans="1:15" s="1" customFormat="1">
      <c r="C251" s="44">
        <f>IF(C238=6,6,IF(C237=5,3,IF(C236=4,4,IF(C235=3,0,0))))</f>
        <v>6</v>
      </c>
      <c r="D251" s="45" t="str">
        <f>IF(C251&gt;0,VLOOKUP(C251,C233:E238,2,FALSE),"")</f>
        <v>大垣クラブ</v>
      </c>
      <c r="E251" s="46" t="str">
        <f>IF(C251&gt;0,VLOOKUP(C251,C233:E238,3,FALSE),"")</f>
        <v>國枝　契太</v>
      </c>
      <c r="F251" s="8"/>
      <c r="G251" s="9"/>
      <c r="H251" s="9"/>
      <c r="I251" s="9"/>
      <c r="J251" s="9"/>
      <c r="K251" s="9"/>
      <c r="L251" s="9"/>
      <c r="M251" s="9"/>
      <c r="N251" s="9"/>
      <c r="O251" s="10"/>
    </row>
    <row r="252" spans="1:15" s="11" customFormat="1" ht="10.5">
      <c r="C252" s="49"/>
      <c r="D252" s="50"/>
      <c r="E252" s="51"/>
      <c r="F252" s="12"/>
      <c r="G252" s="12"/>
      <c r="H252" s="12"/>
      <c r="I252" s="12"/>
      <c r="J252" s="12"/>
      <c r="K252" s="12"/>
      <c r="L252" s="12"/>
      <c r="M252" s="12"/>
      <c r="N252" s="12"/>
      <c r="O252" s="13"/>
    </row>
    <row r="253" spans="1:15" s="1" customFormat="1">
      <c r="A253" s="1">
        <v>5</v>
      </c>
      <c r="C253" s="41">
        <f>IF(C238=6,3,IF(C237=5,5,IF(C236=4,3,IF(C235=3,0,0))))</f>
        <v>3</v>
      </c>
      <c r="D253" s="42" t="str">
        <f>IF(C253&gt;0,VLOOKUP(C253,C233:E238,2,FALSE),"")</f>
        <v>アレ　フェンシング</v>
      </c>
      <c r="E253" s="43" t="str">
        <f>IF(C253&gt;0,VLOOKUP(C253,C233:E238,3,FALSE),"")</f>
        <v>古市　直大</v>
      </c>
      <c r="F253" s="5"/>
      <c r="G253" s="6"/>
      <c r="H253" s="6"/>
      <c r="I253" s="6"/>
      <c r="J253" s="6"/>
      <c r="K253" s="6"/>
      <c r="L253" s="6"/>
      <c r="M253" s="6"/>
      <c r="N253" s="6"/>
      <c r="O253" s="7"/>
    </row>
    <row r="254" spans="1:15" s="1" customFormat="1">
      <c r="C254" s="44">
        <f>IF(C238=6,1,IF(C237=5,4,IF(C236=4,4,IF(C235=3,0,0))))</f>
        <v>1</v>
      </c>
      <c r="D254" s="45" t="str">
        <f>IF(C254&gt;0,VLOOKUP(C254,C233:E238,2,FALSE),"")</f>
        <v>箕輪中学校</v>
      </c>
      <c r="E254" s="46" t="str">
        <f>IF(C254&gt;0,VLOOKUP(C254,C233:E238,3,FALSE),"")</f>
        <v>中村　健人</v>
      </c>
      <c r="F254" s="8"/>
      <c r="G254" s="9"/>
      <c r="H254" s="9"/>
      <c r="I254" s="9"/>
      <c r="J254" s="9"/>
      <c r="K254" s="9"/>
      <c r="L254" s="9"/>
      <c r="M254" s="9"/>
      <c r="N254" s="9"/>
      <c r="O254" s="10"/>
    </row>
    <row r="255" spans="1:15" s="11" customFormat="1" ht="10.5">
      <c r="C255" s="49"/>
      <c r="D255" s="50"/>
      <c r="E255" s="51"/>
      <c r="F255" s="12"/>
      <c r="G255" s="12"/>
      <c r="H255" s="12"/>
      <c r="I255" s="12"/>
      <c r="J255" s="12"/>
      <c r="K255" s="12"/>
      <c r="L255" s="12"/>
      <c r="M255" s="12"/>
      <c r="N255" s="12"/>
      <c r="O255" s="13"/>
    </row>
    <row r="256" spans="1:15" s="1" customFormat="1">
      <c r="A256" s="1">
        <v>6</v>
      </c>
      <c r="C256" s="41">
        <f>IF(C238=6,6,IF(C237=5,1,IF(C236=4,1,IF(C235=3,0,0))))</f>
        <v>6</v>
      </c>
      <c r="D256" s="42" t="str">
        <f>IF(C256&gt;0,VLOOKUP(C256,C233:E238,2,FALSE),"")</f>
        <v>大垣クラブ</v>
      </c>
      <c r="E256" s="43" t="str">
        <f>IF(C256&gt;0,VLOOKUP(C256,C233:E238,3,FALSE),"")</f>
        <v>國枝　契太</v>
      </c>
      <c r="F256" s="5"/>
      <c r="G256" s="6"/>
      <c r="H256" s="6"/>
      <c r="I256" s="6"/>
      <c r="J256" s="6"/>
      <c r="K256" s="6"/>
      <c r="L256" s="6"/>
      <c r="M256" s="6"/>
      <c r="N256" s="6"/>
      <c r="O256" s="7"/>
    </row>
    <row r="257" spans="1:15" s="1" customFormat="1">
      <c r="C257" s="44">
        <f>IF(C238=6,4,IF(C237=5,3,IF(C236=4,2,IF(C235=3,0,0))))</f>
        <v>4</v>
      </c>
      <c r="D257" s="45" t="str">
        <f>IF(C257&gt;0,VLOOKUP(C257,C233:E238,2,FALSE),"")</f>
        <v>愛工大付属</v>
      </c>
      <c r="E257" s="46" t="str">
        <f>IF(C257&gt;0,VLOOKUP(C257,C233:E238,3,FALSE),"")</f>
        <v>堀　智貴</v>
      </c>
      <c r="F257" s="8"/>
      <c r="G257" s="9"/>
      <c r="H257" s="9"/>
      <c r="I257" s="9"/>
      <c r="J257" s="9"/>
      <c r="K257" s="9"/>
      <c r="L257" s="9"/>
      <c r="M257" s="9"/>
      <c r="N257" s="9"/>
      <c r="O257" s="10"/>
    </row>
    <row r="258" spans="1:15" s="11" customFormat="1" ht="10.5">
      <c r="C258" s="49"/>
      <c r="D258" s="50"/>
      <c r="E258" s="51"/>
      <c r="F258" s="12"/>
      <c r="G258" s="12"/>
      <c r="H258" s="12"/>
      <c r="I258" s="12"/>
      <c r="J258" s="12"/>
      <c r="K258" s="12"/>
      <c r="L258" s="12"/>
      <c r="M258" s="12"/>
      <c r="N258" s="12"/>
      <c r="O258" s="13"/>
    </row>
    <row r="259" spans="1:15" s="1" customFormat="1">
      <c r="A259" s="1">
        <v>7</v>
      </c>
      <c r="C259" s="41">
        <f>IF(C238=6,2,IF(C237=5,2,IF(C236=4,0,0)))</f>
        <v>2</v>
      </c>
      <c r="D259" s="42" t="str">
        <f>IF(C259&gt;0,VLOOKUP(C259,C233:E238,2,FALSE),"")</f>
        <v>速星中学校</v>
      </c>
      <c r="E259" s="43" t="str">
        <f>IF(C259&gt;0,VLOOKUP(C259,C233:E238,3,FALSE),"")</f>
        <v>濱崎　隼十</v>
      </c>
      <c r="F259" s="5"/>
      <c r="G259" s="6"/>
      <c r="H259" s="6"/>
      <c r="I259" s="6"/>
      <c r="J259" s="6"/>
      <c r="K259" s="6"/>
      <c r="L259" s="6"/>
      <c r="M259" s="6"/>
      <c r="N259" s="6"/>
      <c r="O259" s="7"/>
    </row>
    <row r="260" spans="1:15" s="1" customFormat="1">
      <c r="C260" s="44">
        <f>IF(C238=6,5,IF(C237=5,5,IF(C236=4,0,0)))</f>
        <v>5</v>
      </c>
      <c r="D260" s="45" t="str">
        <f>IF(C260&gt;0,VLOOKUP(C260,C233:E238,2,FALSE),"")</f>
        <v>富山パレス</v>
      </c>
      <c r="E260" s="46" t="str">
        <f>IF(C260&gt;0,VLOOKUP(C260,C233:E238,3,FALSE),"")</f>
        <v>篠田　真吾</v>
      </c>
      <c r="F260" s="8"/>
      <c r="G260" s="9"/>
      <c r="H260" s="9"/>
      <c r="I260" s="9"/>
      <c r="J260" s="9"/>
      <c r="K260" s="9"/>
      <c r="L260" s="9"/>
      <c r="M260" s="9"/>
      <c r="N260" s="9"/>
      <c r="O260" s="10"/>
    </row>
    <row r="261" spans="1:15" s="11" customFormat="1" ht="10.5">
      <c r="C261" s="49"/>
      <c r="D261" s="50"/>
      <c r="E261" s="51"/>
      <c r="F261" s="12"/>
      <c r="G261" s="12"/>
      <c r="H261" s="12"/>
      <c r="I261" s="12"/>
      <c r="J261" s="12"/>
      <c r="K261" s="12"/>
      <c r="L261" s="12"/>
      <c r="M261" s="12"/>
      <c r="N261" s="12"/>
      <c r="O261" s="13"/>
    </row>
    <row r="262" spans="1:15" s="1" customFormat="1">
      <c r="A262" s="1">
        <v>8</v>
      </c>
      <c r="C262" s="41">
        <f>IF(C238=6,1,IF(C237=5,4,IF(C236=4,0,0)))</f>
        <v>1</v>
      </c>
      <c r="D262" s="42" t="str">
        <f>IF(C262&gt;0,VLOOKUP(C262,C233:E238,2,FALSE),"")</f>
        <v>箕輪中学校</v>
      </c>
      <c r="E262" s="43" t="str">
        <f>IF(C262&gt;0,VLOOKUP(C262,C233:E238,3,FALSE),"")</f>
        <v>中村　健人</v>
      </c>
      <c r="F262" s="5"/>
      <c r="G262" s="6"/>
      <c r="H262" s="6"/>
      <c r="I262" s="6"/>
      <c r="J262" s="6"/>
      <c r="K262" s="6"/>
      <c r="L262" s="6"/>
      <c r="M262" s="6"/>
      <c r="N262" s="6"/>
      <c r="O262" s="7"/>
    </row>
    <row r="263" spans="1:15" s="1" customFormat="1">
      <c r="C263" s="44">
        <f>IF(C238=6,4,IF(C237=5,1,IF(C236=4,0,0)))</f>
        <v>4</v>
      </c>
      <c r="D263" s="45" t="str">
        <f>IF(C263&gt;0,VLOOKUP(C263,C233:E238,2,FALSE),"")</f>
        <v>愛工大付属</v>
      </c>
      <c r="E263" s="46" t="str">
        <f>IF(C263&gt;0,VLOOKUP(C263,C233:E238,3,FALSE),"")</f>
        <v>堀　智貴</v>
      </c>
      <c r="F263" s="8"/>
      <c r="G263" s="9"/>
      <c r="H263" s="9"/>
      <c r="I263" s="9"/>
      <c r="J263" s="9"/>
      <c r="K263" s="9"/>
      <c r="L263" s="9"/>
      <c r="M263" s="9"/>
      <c r="N263" s="9"/>
      <c r="O263" s="10"/>
    </row>
    <row r="264" spans="1:15" s="11" customFormat="1" ht="10.5">
      <c r="C264" s="49"/>
      <c r="D264" s="50"/>
      <c r="E264" s="51"/>
      <c r="F264" s="12"/>
      <c r="G264" s="12"/>
      <c r="H264" s="12"/>
      <c r="I264" s="12"/>
      <c r="J264" s="12"/>
      <c r="K264" s="12"/>
      <c r="L264" s="12"/>
      <c r="M264" s="12"/>
      <c r="N264" s="12"/>
      <c r="O264" s="13"/>
    </row>
    <row r="265" spans="1:15" s="1" customFormat="1">
      <c r="A265" s="1">
        <v>9</v>
      </c>
      <c r="C265" s="41">
        <f>IF(C238=6,5,IF(C237=5,3,IF(C236=4,0,0)))</f>
        <v>5</v>
      </c>
      <c r="D265" s="42" t="str">
        <f>IF(C265&gt;0,VLOOKUP(C265,C233:E238,2,FALSE),"")</f>
        <v>富山パレス</v>
      </c>
      <c r="E265" s="43" t="str">
        <f>IF(C265&gt;0,VLOOKUP(C265,C233:E238,3,FALSE),"")</f>
        <v>篠田　真吾</v>
      </c>
      <c r="F265" s="5"/>
      <c r="G265" s="6"/>
      <c r="H265" s="6"/>
      <c r="I265" s="6"/>
      <c r="J265" s="6"/>
      <c r="K265" s="6"/>
      <c r="L265" s="6"/>
      <c r="M265" s="6"/>
      <c r="N265" s="6"/>
      <c r="O265" s="7"/>
    </row>
    <row r="266" spans="1:15" s="1" customFormat="1">
      <c r="C266" s="44">
        <f>IF(C238=6,3,IF(C237=5,5,IF(C236=4,0,0)))</f>
        <v>3</v>
      </c>
      <c r="D266" s="45" t="str">
        <f>IF(C266&gt;0,VLOOKUP(C266,C233:E238,2,FALSE),"")</f>
        <v>アレ　フェンシング</v>
      </c>
      <c r="E266" s="46" t="str">
        <f>IF(C266&gt;0,VLOOKUP(C266,C233:E238,3,FALSE),"")</f>
        <v>古市　直大</v>
      </c>
      <c r="F266" s="8"/>
      <c r="G266" s="9"/>
      <c r="H266" s="9"/>
      <c r="I266" s="9"/>
      <c r="J266" s="9"/>
      <c r="K266" s="9"/>
      <c r="L266" s="9"/>
      <c r="M266" s="9"/>
      <c r="N266" s="9"/>
      <c r="O266" s="10"/>
    </row>
    <row r="267" spans="1:15" s="11" customFormat="1" ht="10.5">
      <c r="C267" s="49"/>
      <c r="D267" s="50"/>
      <c r="E267" s="51"/>
      <c r="F267" s="12"/>
      <c r="G267" s="12"/>
      <c r="H267" s="12"/>
      <c r="I267" s="12"/>
      <c r="J267" s="12"/>
      <c r="K267" s="12"/>
      <c r="L267" s="12"/>
      <c r="M267" s="12"/>
      <c r="N267" s="12"/>
      <c r="O267" s="13"/>
    </row>
    <row r="268" spans="1:15" s="1" customFormat="1">
      <c r="A268" s="1">
        <v>10</v>
      </c>
      <c r="C268" s="41">
        <f>IF(C238=6,1,IF(C237=5,4,IF(C236=4,0,0)))</f>
        <v>1</v>
      </c>
      <c r="D268" s="42" t="str">
        <f>IF(C268&gt;0,VLOOKUP(C268,C233:E238,2,FALSE),"")</f>
        <v>箕輪中学校</v>
      </c>
      <c r="E268" s="43" t="str">
        <f>IF(C268&gt;0,VLOOKUP(C268,C233:E238,3,FALSE),"")</f>
        <v>中村　健人</v>
      </c>
      <c r="F268" s="5"/>
      <c r="G268" s="6"/>
      <c r="H268" s="6"/>
      <c r="I268" s="6"/>
      <c r="J268" s="6"/>
      <c r="K268" s="6"/>
      <c r="L268" s="6"/>
      <c r="M268" s="6"/>
      <c r="N268" s="6"/>
      <c r="O268" s="7"/>
    </row>
    <row r="269" spans="1:15" s="1" customFormat="1">
      <c r="C269" s="44">
        <f>IF(C238=6,6,IF(C237=5,2,IF(C236=4,0,0)))</f>
        <v>6</v>
      </c>
      <c r="D269" s="45" t="str">
        <f>IF(C269&gt;0,VLOOKUP(C269,C233:E238,2,FALSE),"")</f>
        <v>大垣クラブ</v>
      </c>
      <c r="E269" s="46" t="str">
        <f>IF(C269&gt;0,VLOOKUP(C269,C233:E238,3,FALSE),"")</f>
        <v>國枝　契太</v>
      </c>
      <c r="F269" s="8"/>
      <c r="G269" s="9"/>
      <c r="H269" s="9"/>
      <c r="I269" s="9"/>
      <c r="J269" s="9"/>
      <c r="K269" s="9"/>
      <c r="L269" s="9"/>
      <c r="M269" s="9"/>
      <c r="N269" s="9"/>
      <c r="O269" s="10"/>
    </row>
    <row r="270" spans="1:15" s="11" customFormat="1" ht="10.5">
      <c r="C270" s="49"/>
      <c r="D270" s="50"/>
      <c r="E270" s="51"/>
      <c r="F270" s="12"/>
      <c r="G270" s="12"/>
      <c r="H270" s="12"/>
      <c r="I270" s="12"/>
      <c r="J270" s="12"/>
      <c r="K270" s="12"/>
      <c r="L270" s="12"/>
      <c r="M270" s="12"/>
      <c r="N270" s="12"/>
      <c r="O270" s="13"/>
    </row>
    <row r="271" spans="1:15" s="1" customFormat="1">
      <c r="A271" s="1">
        <v>11</v>
      </c>
      <c r="C271" s="41">
        <f>IF(C238=6,4,0)</f>
        <v>4</v>
      </c>
      <c r="D271" s="42" t="str">
        <f>IF(C271&gt;0,VLOOKUP(C271,C233:E238,2,FALSE),"")</f>
        <v>愛工大付属</v>
      </c>
      <c r="E271" s="43" t="str">
        <f>IF(C271&gt;0,VLOOKUP(C271,C233:E238,3,FALSE),"")</f>
        <v>堀　智貴</v>
      </c>
      <c r="F271" s="5"/>
      <c r="G271" s="6"/>
      <c r="H271" s="6"/>
      <c r="I271" s="6"/>
      <c r="J271" s="6"/>
      <c r="K271" s="6"/>
      <c r="L271" s="6"/>
      <c r="M271" s="6"/>
      <c r="N271" s="6"/>
      <c r="O271" s="7"/>
    </row>
    <row r="272" spans="1:15" s="1" customFormat="1">
      <c r="C272" s="44">
        <f>IF(C238=6,2,0)</f>
        <v>2</v>
      </c>
      <c r="D272" s="45" t="str">
        <f>IF(C272&gt;0,VLOOKUP(C272,C233:E238,2,FALSE),"")</f>
        <v>速星中学校</v>
      </c>
      <c r="E272" s="46" t="str">
        <f>IF(C272&gt;0,VLOOKUP(C272,C233:E238,3,FALSE),"")</f>
        <v>濱崎　隼十</v>
      </c>
      <c r="F272" s="8"/>
      <c r="G272" s="9"/>
      <c r="H272" s="9"/>
      <c r="I272" s="9"/>
      <c r="J272" s="9"/>
      <c r="K272" s="9"/>
      <c r="L272" s="9"/>
      <c r="M272" s="9"/>
      <c r="N272" s="9"/>
      <c r="O272" s="10"/>
    </row>
    <row r="273" spans="1:15" s="11" customFormat="1" ht="10.5">
      <c r="C273" s="49"/>
      <c r="D273" s="50"/>
      <c r="E273" s="51"/>
      <c r="F273" s="12"/>
      <c r="G273" s="12"/>
      <c r="H273" s="12"/>
      <c r="I273" s="12"/>
      <c r="J273" s="12"/>
      <c r="K273" s="12"/>
      <c r="L273" s="12"/>
      <c r="M273" s="12"/>
      <c r="N273" s="12"/>
      <c r="O273" s="13"/>
    </row>
    <row r="274" spans="1:15" s="1" customFormat="1">
      <c r="A274" s="1">
        <v>12</v>
      </c>
      <c r="C274" s="41">
        <f>IF(C238=6,3,0)</f>
        <v>3</v>
      </c>
      <c r="D274" s="42" t="str">
        <f>IF(C274&gt;0,VLOOKUP(C274,C233:E238,2,FALSE),"")</f>
        <v>アレ　フェンシング</v>
      </c>
      <c r="E274" s="43" t="str">
        <f>IF(C274&gt;0,VLOOKUP(C274,C233:E238,3,FALSE),"")</f>
        <v>古市　直大</v>
      </c>
      <c r="F274" s="5"/>
      <c r="G274" s="6"/>
      <c r="H274" s="6"/>
      <c r="I274" s="6"/>
      <c r="J274" s="6"/>
      <c r="K274" s="6"/>
      <c r="L274" s="6"/>
      <c r="M274" s="6"/>
      <c r="N274" s="6"/>
      <c r="O274" s="7"/>
    </row>
    <row r="275" spans="1:15" s="1" customFormat="1" ht="13.5" customHeight="1">
      <c r="C275" s="44">
        <f>IF(C238=6,6,0)</f>
        <v>6</v>
      </c>
      <c r="D275" s="45" t="str">
        <f>IF(C275&gt;0,VLOOKUP(C275,C233:E238,2,FALSE),"")</f>
        <v>大垣クラブ</v>
      </c>
      <c r="E275" s="46" t="str">
        <f>IF(C275&gt;0,VLOOKUP(C275,C233:E238,3,FALSE),"")</f>
        <v>國枝　契太</v>
      </c>
      <c r="F275" s="8"/>
      <c r="G275" s="9"/>
      <c r="H275" s="9"/>
      <c r="I275" s="9"/>
      <c r="J275" s="9"/>
      <c r="K275" s="9"/>
      <c r="L275" s="9"/>
      <c r="M275" s="9"/>
      <c r="N275" s="9"/>
      <c r="O275" s="10"/>
    </row>
    <row r="276" spans="1:15" s="11" customFormat="1" ht="10.5">
      <c r="C276" s="49"/>
      <c r="D276" s="50"/>
      <c r="E276" s="51"/>
      <c r="F276" s="12"/>
      <c r="G276" s="12"/>
      <c r="H276" s="12"/>
      <c r="I276" s="12"/>
      <c r="J276" s="12"/>
      <c r="K276" s="12"/>
      <c r="L276" s="12"/>
      <c r="M276" s="12"/>
      <c r="N276" s="12"/>
      <c r="O276" s="13"/>
    </row>
    <row r="277" spans="1:15" s="1" customFormat="1">
      <c r="A277" s="1">
        <v>13</v>
      </c>
      <c r="C277" s="41">
        <f>IF(C238=6,5,0)</f>
        <v>5</v>
      </c>
      <c r="D277" s="42" t="str">
        <f>IF(C277&gt;0,VLOOKUP(C277,C233:E238,2,FALSE),"")</f>
        <v>富山パレス</v>
      </c>
      <c r="E277" s="43" t="str">
        <f>IF(C277&gt;0,VLOOKUP(C277,C233:E238,3,FALSE),"")</f>
        <v>篠田　真吾</v>
      </c>
      <c r="F277" s="5"/>
      <c r="G277" s="6"/>
      <c r="H277" s="6"/>
      <c r="I277" s="6"/>
      <c r="J277" s="6"/>
      <c r="K277" s="6"/>
      <c r="L277" s="6"/>
      <c r="M277" s="6"/>
      <c r="N277" s="6"/>
      <c r="O277" s="7"/>
    </row>
    <row r="278" spans="1:15" s="1" customFormat="1">
      <c r="C278" s="44">
        <f>IF(C238=6,1,0)</f>
        <v>1</v>
      </c>
      <c r="D278" s="45" t="str">
        <f>IF(C278&gt;0,VLOOKUP(C278,C233:E238,2,FALSE),"")</f>
        <v>箕輪中学校</v>
      </c>
      <c r="E278" s="46" t="str">
        <f>IF(C278&gt;0,VLOOKUP(C278,C233:E238,3,FALSE),"")</f>
        <v>中村　健人</v>
      </c>
      <c r="F278" s="8"/>
      <c r="G278" s="9"/>
      <c r="H278" s="9"/>
      <c r="I278" s="9"/>
      <c r="J278" s="9"/>
      <c r="K278" s="9"/>
      <c r="L278" s="9"/>
      <c r="M278" s="9"/>
      <c r="N278" s="9"/>
      <c r="O278" s="10"/>
    </row>
    <row r="279" spans="1:15" s="11" customFormat="1" ht="10.5">
      <c r="C279" s="49"/>
      <c r="D279" s="50"/>
      <c r="E279" s="51"/>
      <c r="F279" s="12"/>
      <c r="G279" s="12"/>
      <c r="H279" s="12"/>
      <c r="I279" s="12"/>
      <c r="J279" s="12"/>
      <c r="K279" s="12"/>
      <c r="L279" s="12"/>
      <c r="M279" s="12"/>
      <c r="N279" s="12"/>
      <c r="O279" s="13"/>
    </row>
    <row r="280" spans="1:15" s="1" customFormat="1">
      <c r="A280" s="1">
        <v>14</v>
      </c>
      <c r="C280" s="41">
        <f>IF(C238=6,3,0)</f>
        <v>3</v>
      </c>
      <c r="D280" s="42" t="str">
        <f>IF(C280&gt;0,VLOOKUP(C280,C233:E238,2,FALSE),"")</f>
        <v>アレ　フェンシング</v>
      </c>
      <c r="E280" s="43" t="str">
        <f>IF(C280&gt;0,VLOOKUP(C280,C233:E238,3,FALSE),"")</f>
        <v>古市　直大</v>
      </c>
      <c r="F280" s="5"/>
      <c r="G280" s="6"/>
      <c r="H280" s="6"/>
      <c r="I280" s="6"/>
      <c r="J280" s="6"/>
      <c r="K280" s="6"/>
      <c r="L280" s="6"/>
      <c r="M280" s="6"/>
      <c r="N280" s="6"/>
      <c r="O280" s="7"/>
    </row>
    <row r="281" spans="1:15" s="1" customFormat="1">
      <c r="C281" s="44">
        <f>IF(C238=6,4,0)</f>
        <v>4</v>
      </c>
      <c r="D281" s="45" t="str">
        <f>IF(C281&gt;0,VLOOKUP(C281,C233:E238,2,FALSE),"")</f>
        <v>愛工大付属</v>
      </c>
      <c r="E281" s="46" t="str">
        <f>IF(C281&gt;0,VLOOKUP(C281,C233:E238,3,FALSE),"")</f>
        <v>堀　智貴</v>
      </c>
      <c r="F281" s="8"/>
      <c r="G281" s="9"/>
      <c r="H281" s="9"/>
      <c r="I281" s="9"/>
      <c r="J281" s="9"/>
      <c r="K281" s="9"/>
      <c r="L281" s="9"/>
      <c r="M281" s="9"/>
      <c r="N281" s="9"/>
      <c r="O281" s="10"/>
    </row>
    <row r="282" spans="1:15" s="11" customFormat="1" ht="10.5">
      <c r="C282" s="49"/>
      <c r="D282" s="50"/>
      <c r="E282" s="51"/>
      <c r="F282" s="12"/>
      <c r="G282" s="12"/>
      <c r="H282" s="12"/>
      <c r="I282" s="12"/>
      <c r="J282" s="12"/>
      <c r="K282" s="12"/>
      <c r="L282" s="12"/>
      <c r="M282" s="12"/>
      <c r="N282" s="12"/>
      <c r="O282" s="13"/>
    </row>
    <row r="283" spans="1:15" s="1" customFormat="1">
      <c r="A283" s="1">
        <v>15</v>
      </c>
      <c r="C283" s="41">
        <f>IF(C238=6,6,0)</f>
        <v>6</v>
      </c>
      <c r="D283" s="42" t="str">
        <f>IF(C283&gt;0,VLOOKUP(C283,C233:E238,2,FALSE),"")</f>
        <v>大垣クラブ</v>
      </c>
      <c r="E283" s="43" t="str">
        <f>IF(C283&gt;0,VLOOKUP(C283,C233:E238,3,FALSE),"")</f>
        <v>國枝　契太</v>
      </c>
      <c r="F283" s="5"/>
      <c r="G283" s="6"/>
      <c r="H283" s="6"/>
      <c r="I283" s="6"/>
      <c r="J283" s="6"/>
      <c r="K283" s="6"/>
      <c r="L283" s="6"/>
      <c r="M283" s="6"/>
      <c r="N283" s="6"/>
      <c r="O283" s="7"/>
    </row>
    <row r="284" spans="1:15" s="1" customFormat="1">
      <c r="C284" s="44">
        <f>IF(C238=6,2,0)</f>
        <v>2</v>
      </c>
      <c r="D284" s="45" t="str">
        <f>IF(C284&gt;0,VLOOKUP(C284,C233:E238,2,FALSE),"")</f>
        <v>速星中学校</v>
      </c>
      <c r="E284" s="46" t="str">
        <f>IF(C284&gt;0,VLOOKUP(C284,C233:E238,3,FALSE),"")</f>
        <v>濱崎　隼十</v>
      </c>
      <c r="F284" s="8"/>
      <c r="G284" s="9"/>
      <c r="H284" s="9"/>
      <c r="I284" s="9"/>
      <c r="J284" s="9"/>
      <c r="K284" s="9"/>
      <c r="L284" s="9"/>
      <c r="M284" s="9"/>
      <c r="N284" s="9"/>
      <c r="O284" s="10"/>
    </row>
    <row r="285" spans="1:15" s="104" customFormat="1" ht="10.5">
      <c r="C285" s="107"/>
      <c r="D285" s="52"/>
      <c r="E285" s="53"/>
      <c r="F285" s="108"/>
      <c r="G285" s="108"/>
      <c r="H285" s="108"/>
      <c r="I285" s="108"/>
      <c r="J285" s="108"/>
      <c r="K285" s="108"/>
      <c r="L285" s="108"/>
      <c r="M285" s="108"/>
      <c r="N285" s="108"/>
      <c r="O285" s="109"/>
    </row>
    <row r="286" spans="1:15" s="57" customFormat="1" ht="17.25">
      <c r="A286" s="321" t="str">
        <f>名簿!$A$1</f>
        <v>第9回川本杯はしまモアフェンシング大会</v>
      </c>
      <c r="B286" s="321"/>
      <c r="C286" s="321"/>
      <c r="D286" s="321"/>
      <c r="E286" s="321"/>
      <c r="F286" s="321"/>
      <c r="G286" s="321"/>
      <c r="H286" s="321"/>
      <c r="I286" s="321"/>
      <c r="J286" s="321"/>
      <c r="K286" s="268" t="s">
        <v>72</v>
      </c>
      <c r="L286" s="322" t="s">
        <v>73</v>
      </c>
      <c r="M286" s="322"/>
      <c r="N286" s="322"/>
      <c r="O286" s="323"/>
    </row>
    <row r="287" spans="1:15" s="58" customFormat="1" ht="14.25">
      <c r="A287" s="318" t="str">
        <f>"　"&amp;名簿!$A$2</f>
        <v>　中学男子</v>
      </c>
      <c r="B287" s="318"/>
      <c r="C287" s="318"/>
      <c r="D287" s="318"/>
      <c r="E287" s="318"/>
      <c r="F287" s="318"/>
      <c r="G287" s="318"/>
      <c r="H287" s="318"/>
      <c r="I287" s="318"/>
      <c r="J287" s="318"/>
      <c r="K287" s="269"/>
      <c r="L287" s="319" t="s">
        <v>74</v>
      </c>
      <c r="M287" s="319"/>
      <c r="N287" s="319"/>
      <c r="O287" s="320"/>
    </row>
    <row r="288" spans="1:15" s="58" customFormat="1" ht="14.25">
      <c r="A288" s="314" t="str">
        <f>"　　"&amp;名簿!$A$3</f>
        <v>　　1回戦</v>
      </c>
      <c r="B288" s="314"/>
      <c r="C288" s="314"/>
      <c r="D288" s="314"/>
      <c r="E288" s="314"/>
      <c r="K288" s="315">
        <f>名簿!$E$3</f>
        <v>43184</v>
      </c>
      <c r="L288" s="315"/>
      <c r="M288" s="315"/>
      <c r="N288" s="315"/>
      <c r="O288" s="315"/>
    </row>
    <row r="289" spans="1:16">
      <c r="A289" s="59" t="s">
        <v>57</v>
      </c>
      <c r="B289" s="60" t="s">
        <v>13</v>
      </c>
      <c r="C289" s="61" t="s">
        <v>0</v>
      </c>
      <c r="D289" s="62" t="s">
        <v>7</v>
      </c>
      <c r="E289" s="63" t="s">
        <v>8</v>
      </c>
      <c r="F289" s="64">
        <v>1</v>
      </c>
      <c r="G289" s="65">
        <v>2</v>
      </c>
      <c r="H289" s="65">
        <v>3</v>
      </c>
      <c r="I289" s="65">
        <v>4</v>
      </c>
      <c r="J289" s="65">
        <v>5</v>
      </c>
      <c r="K289" s="66">
        <v>6</v>
      </c>
      <c r="L289" s="67" t="s">
        <v>58</v>
      </c>
      <c r="M289" s="68" t="s">
        <v>59</v>
      </c>
      <c r="N289" s="316" t="s">
        <v>6</v>
      </c>
      <c r="O289" s="317"/>
      <c r="P289" s="69"/>
    </row>
    <row r="290" spans="1:16" ht="18" customHeight="1">
      <c r="A290" s="71">
        <f>'予選 Ｐ'!A35</f>
        <v>6</v>
      </c>
      <c r="B290" s="72">
        <f>'予選 Ｐ'!B35</f>
        <v>6</v>
      </c>
      <c r="C290" s="73">
        <f>'予選 Ｐ'!C35</f>
        <v>1</v>
      </c>
      <c r="D290" s="34" t="str">
        <f>'予選 Ｐ'!E35</f>
        <v>愛工大付属</v>
      </c>
      <c r="E290" s="35" t="str">
        <f>'予選 Ｐ'!F35</f>
        <v>弓長　昇主</v>
      </c>
      <c r="F290" s="74"/>
      <c r="G290" s="75"/>
      <c r="H290" s="75"/>
      <c r="I290" s="75"/>
      <c r="J290" s="75"/>
      <c r="K290" s="76"/>
      <c r="L290" s="77"/>
      <c r="M290" s="78"/>
      <c r="N290" s="79"/>
      <c r="O290" s="80"/>
      <c r="P290" s="81"/>
    </row>
    <row r="291" spans="1:16" ht="18" customHeight="1">
      <c r="A291" s="82">
        <f>'予選 Ｐ'!A36</f>
        <v>6</v>
      </c>
      <c r="B291" s="83">
        <f>'予選 Ｐ'!B36</f>
        <v>16</v>
      </c>
      <c r="C291" s="84">
        <f>'予選 Ｐ'!C36</f>
        <v>2</v>
      </c>
      <c r="D291" s="36" t="str">
        <f>'予選 Ｐ'!E36</f>
        <v>速星中学校</v>
      </c>
      <c r="E291" s="35" t="str">
        <f>'予選 Ｐ'!F36</f>
        <v>石川　凌</v>
      </c>
      <c r="F291" s="85"/>
      <c r="G291" s="86"/>
      <c r="H291" s="87"/>
      <c r="I291" s="87"/>
      <c r="J291" s="87"/>
      <c r="K291" s="88"/>
      <c r="L291" s="89"/>
      <c r="M291" s="90"/>
      <c r="N291" s="91"/>
      <c r="O291" s="92"/>
      <c r="P291" s="81"/>
    </row>
    <row r="292" spans="1:16" ht="18" customHeight="1">
      <c r="A292" s="82">
        <f>'予選 Ｐ'!A37</f>
        <v>6</v>
      </c>
      <c r="B292" s="83">
        <f>'予選 Ｐ'!B37</f>
        <v>24</v>
      </c>
      <c r="C292" s="84">
        <f>'予選 Ｐ'!C37</f>
        <v>3</v>
      </c>
      <c r="D292" s="36" t="str">
        <f>'予選 Ｐ'!E37</f>
        <v>武生二中</v>
      </c>
      <c r="E292" s="35" t="str">
        <f>'予選 Ｐ'!F37</f>
        <v>坂下　快斗</v>
      </c>
      <c r="F292" s="85"/>
      <c r="G292" s="87"/>
      <c r="H292" s="86"/>
      <c r="I292" s="87"/>
      <c r="J292" s="87"/>
      <c r="K292" s="88"/>
      <c r="L292" s="89"/>
      <c r="M292" s="90"/>
      <c r="N292" s="91"/>
      <c r="O292" s="92"/>
      <c r="P292" s="81"/>
    </row>
    <row r="293" spans="1:16" ht="18" customHeight="1">
      <c r="A293" s="82">
        <f>'予選 Ｐ'!A38</f>
        <v>6</v>
      </c>
      <c r="B293" s="83">
        <f>IF('予選 Ｐ'!B38="","",'予選 Ｐ'!B38)</f>
        <v>20</v>
      </c>
      <c r="C293" s="84">
        <f>'予選 Ｐ'!C38</f>
        <v>4</v>
      </c>
      <c r="D293" s="36" t="str">
        <f>'予選 Ｐ'!E38</f>
        <v>速星中学校</v>
      </c>
      <c r="E293" s="35" t="str">
        <f>'予選 Ｐ'!F38</f>
        <v>山岸　凜生</v>
      </c>
      <c r="F293" s="85"/>
      <c r="G293" s="87"/>
      <c r="H293" s="87"/>
      <c r="I293" s="86"/>
      <c r="J293" s="87"/>
      <c r="K293" s="88"/>
      <c r="L293" s="89"/>
      <c r="M293" s="90"/>
      <c r="N293" s="91"/>
      <c r="O293" s="92"/>
      <c r="P293" s="81"/>
    </row>
    <row r="294" spans="1:16" ht="18" customHeight="1">
      <c r="A294" s="82">
        <f>'予選 Ｐ'!A39</f>
        <v>6</v>
      </c>
      <c r="B294" s="83">
        <f>IF('予選 Ｐ'!B39="","",'予選 Ｐ'!B39)</f>
        <v>46</v>
      </c>
      <c r="C294" s="84">
        <f>'予選 Ｐ'!C39</f>
        <v>5</v>
      </c>
      <c r="D294" s="36" t="str">
        <f>'予選 Ｐ'!E39</f>
        <v>はしまモア</v>
      </c>
      <c r="E294" s="35" t="str">
        <f>'予選 Ｐ'!F39</f>
        <v>石橋　廉大</v>
      </c>
      <c r="F294" s="85"/>
      <c r="G294" s="87"/>
      <c r="H294" s="87"/>
      <c r="I294" s="87"/>
      <c r="J294" s="86"/>
      <c r="K294" s="88"/>
      <c r="L294" s="89"/>
      <c r="M294" s="90"/>
      <c r="N294" s="91"/>
      <c r="O294" s="92"/>
      <c r="P294" s="81"/>
    </row>
    <row r="295" spans="1:16" ht="18" customHeight="1">
      <c r="A295" s="93" t="str">
        <f>'予選 Ｐ'!A40</f>
        <v/>
      </c>
      <c r="B295" s="94" t="str">
        <f>IF('予選 Ｐ'!B40="","",'予選 Ｐ'!B40)</f>
        <v/>
      </c>
      <c r="C295" s="95" t="str">
        <f>'予選 Ｐ'!C40</f>
        <v/>
      </c>
      <c r="D295" s="37" t="str">
        <f>'予選 Ｐ'!E40</f>
        <v/>
      </c>
      <c r="E295" s="96" t="str">
        <f>'予選 Ｐ'!F40</f>
        <v/>
      </c>
      <c r="F295" s="97"/>
      <c r="G295" s="98"/>
      <c r="H295" s="98"/>
      <c r="I295" s="98"/>
      <c r="J295" s="98"/>
      <c r="K295" s="99"/>
      <c r="L295" s="100"/>
      <c r="M295" s="101"/>
      <c r="N295" s="102"/>
      <c r="O295" s="103"/>
      <c r="P295" s="81"/>
    </row>
    <row r="296" spans="1:16" s="104" customFormat="1" ht="10.5">
      <c r="D296" s="105"/>
      <c r="E296" s="106"/>
    </row>
    <row r="297" spans="1:16" s="1" customFormat="1">
      <c r="C297" s="38" t="s">
        <v>37</v>
      </c>
      <c r="D297" s="39" t="s">
        <v>16</v>
      </c>
      <c r="E297" s="40" t="s">
        <v>8</v>
      </c>
      <c r="F297" s="2">
        <v>1</v>
      </c>
      <c r="G297" s="3">
        <v>2</v>
      </c>
      <c r="H297" s="3">
        <v>3</v>
      </c>
      <c r="I297" s="3">
        <v>4</v>
      </c>
      <c r="J297" s="3">
        <v>5</v>
      </c>
      <c r="K297" s="3">
        <v>6</v>
      </c>
      <c r="L297" s="3">
        <v>7</v>
      </c>
      <c r="M297" s="3">
        <v>8</v>
      </c>
      <c r="N297" s="3">
        <v>9</v>
      </c>
      <c r="O297" s="4" t="s">
        <v>5</v>
      </c>
    </row>
    <row r="298" spans="1:16" s="1" customFormat="1">
      <c r="A298" s="1">
        <v>1</v>
      </c>
      <c r="C298" s="41">
        <v>1</v>
      </c>
      <c r="D298" s="42" t="str">
        <f>IF(C298&gt;0,VLOOKUP(C298,C290:E295,2,FALSE),"")</f>
        <v>愛工大付属</v>
      </c>
      <c r="E298" s="43" t="str">
        <f>IF(C298&gt;0,VLOOKUP(C298,C290:E295,3,FALSE),"")</f>
        <v>弓長　昇主</v>
      </c>
      <c r="F298" s="5"/>
      <c r="G298" s="6"/>
      <c r="H298" s="6"/>
      <c r="I298" s="6"/>
      <c r="J298" s="6"/>
      <c r="K298" s="6"/>
      <c r="L298" s="6"/>
      <c r="M298" s="6"/>
      <c r="N298" s="6"/>
      <c r="O298" s="7"/>
    </row>
    <row r="299" spans="1:16" s="1" customFormat="1">
      <c r="C299" s="44">
        <f>IF(C295=6,2,IF(C294=5,2,IF(C293=4,4,IF(C292=3,3))))</f>
        <v>2</v>
      </c>
      <c r="D299" s="45" t="str">
        <f>IF(C299&gt;0,VLOOKUP(C299,C290:E295,2,FALSE),"")</f>
        <v>速星中学校</v>
      </c>
      <c r="E299" s="46" t="str">
        <f>IF(C299&gt;0,VLOOKUP(C299,C290:E295,3,FALSE),"")</f>
        <v>石川　凌</v>
      </c>
      <c r="F299" s="8"/>
      <c r="G299" s="9"/>
      <c r="H299" s="9"/>
      <c r="I299" s="9"/>
      <c r="J299" s="9"/>
      <c r="K299" s="9"/>
      <c r="L299" s="9"/>
      <c r="M299" s="9"/>
      <c r="N299" s="9"/>
      <c r="O299" s="10"/>
    </row>
    <row r="300" spans="1:16" s="11" customFormat="1" ht="10.5">
      <c r="D300" s="47"/>
      <c r="E300" s="48"/>
    </row>
    <row r="301" spans="1:16" s="1" customFormat="1">
      <c r="A301" s="1">
        <v>2</v>
      </c>
      <c r="C301" s="41">
        <f>IF(C295=6,4,IF(C294=5,3,IF(C293=4,2,IF(C292=3,2))))</f>
        <v>3</v>
      </c>
      <c r="D301" s="42" t="str">
        <f>IF(C301&gt;0,VLOOKUP(C301,C290:E295,2,FALSE),"")</f>
        <v>武生二中</v>
      </c>
      <c r="E301" s="43" t="str">
        <f>IF(C301&gt;0,VLOOKUP(C301,C290:E295,3,FALSE),"")</f>
        <v>坂下　快斗</v>
      </c>
      <c r="F301" s="5"/>
      <c r="G301" s="6"/>
      <c r="H301" s="6"/>
      <c r="I301" s="6"/>
      <c r="J301" s="6"/>
      <c r="K301" s="6"/>
      <c r="L301" s="6"/>
      <c r="M301" s="6"/>
      <c r="N301" s="6"/>
      <c r="O301" s="7"/>
    </row>
    <row r="302" spans="1:16" s="1" customFormat="1">
      <c r="C302" s="44">
        <f>IF(C295=6,5,IF(C294=5,4,IF(C293=4,3,IF(C292=3,3))))</f>
        <v>4</v>
      </c>
      <c r="D302" s="45" t="str">
        <f>IF(C302&gt;0,VLOOKUP(C302,C290:E295,2,FALSE),"")</f>
        <v>速星中学校</v>
      </c>
      <c r="E302" s="46" t="str">
        <f>IF(C302&gt;0,VLOOKUP(C302,C290:E295,3,FALSE),"")</f>
        <v>山岸　凜生</v>
      </c>
      <c r="F302" s="8"/>
      <c r="G302" s="9"/>
      <c r="H302" s="9"/>
      <c r="I302" s="9"/>
      <c r="J302" s="9"/>
      <c r="K302" s="9"/>
      <c r="L302" s="9"/>
      <c r="M302" s="9"/>
      <c r="N302" s="9"/>
      <c r="O302" s="10"/>
    </row>
    <row r="303" spans="1:16" s="11" customFormat="1" ht="10.5">
      <c r="D303" s="47"/>
      <c r="E303" s="48"/>
    </row>
    <row r="304" spans="1:16" s="1" customFormat="1">
      <c r="A304" s="1">
        <v>3</v>
      </c>
      <c r="C304" s="41">
        <f>IF(C295=6,2,IF(C294=5,5,IF(C293=4,1,IF(C292=3,1))))</f>
        <v>5</v>
      </c>
      <c r="D304" s="42" t="str">
        <f>IF(C304&gt;0,VLOOKUP(C304,C290:E295,2,FALSE),"")</f>
        <v>はしまモア</v>
      </c>
      <c r="E304" s="43" t="str">
        <f>IF(C304&gt;0,VLOOKUP(C304,C290:E295,3,FALSE),"")</f>
        <v>石橋　廉大</v>
      </c>
      <c r="F304" s="5"/>
      <c r="G304" s="6"/>
      <c r="H304" s="6"/>
      <c r="I304" s="6"/>
      <c r="J304" s="6"/>
      <c r="K304" s="6"/>
      <c r="L304" s="6"/>
      <c r="M304" s="6"/>
      <c r="N304" s="6"/>
      <c r="O304" s="7"/>
    </row>
    <row r="305" spans="1:15" s="1" customFormat="1">
      <c r="C305" s="44">
        <f>IF(C295=6,3,IF(C294=5,1,IF(C293=4,3,IF(C292=3,2))))</f>
        <v>1</v>
      </c>
      <c r="D305" s="45" t="str">
        <f>IF(C305&gt;0,VLOOKUP(C305,C290:E295,2,FALSE),"")</f>
        <v>愛工大付属</v>
      </c>
      <c r="E305" s="46" t="str">
        <f>IF(C305&gt;0,VLOOKUP(C305,C290:E295,3,FALSE),"")</f>
        <v>弓長　昇主</v>
      </c>
      <c r="F305" s="8"/>
      <c r="G305" s="9"/>
      <c r="H305" s="9"/>
      <c r="I305" s="9"/>
      <c r="J305" s="9"/>
      <c r="K305" s="9"/>
      <c r="L305" s="9"/>
      <c r="M305" s="9"/>
      <c r="N305" s="9"/>
      <c r="O305" s="10"/>
    </row>
    <row r="306" spans="1:15" s="11" customFormat="1" ht="10.5">
      <c r="C306" s="49"/>
      <c r="D306" s="50"/>
      <c r="E306" s="51"/>
      <c r="F306" s="12"/>
      <c r="G306" s="12"/>
      <c r="H306" s="12"/>
      <c r="I306" s="12"/>
      <c r="J306" s="12"/>
      <c r="K306" s="12"/>
      <c r="L306" s="12"/>
      <c r="M306" s="12"/>
      <c r="N306" s="12"/>
      <c r="O306" s="13"/>
    </row>
    <row r="307" spans="1:15" s="1" customFormat="1">
      <c r="A307" s="1">
        <v>4</v>
      </c>
      <c r="C307" s="41">
        <f>IF(C295=6,5,IF(C294=5,2,IF(C293=4,2,IF(C292=3,0,0))))</f>
        <v>2</v>
      </c>
      <c r="D307" s="42" t="str">
        <f>IF(C307&gt;0,VLOOKUP(C307,C290:E295,2,FALSE),"")</f>
        <v>速星中学校</v>
      </c>
      <c r="E307" s="43" t="str">
        <f>IF(C307&gt;0,VLOOKUP(C307,C290:E295,3,FALSE),"")</f>
        <v>石川　凌</v>
      </c>
      <c r="F307" s="5"/>
      <c r="G307" s="6"/>
      <c r="H307" s="6"/>
      <c r="I307" s="6"/>
      <c r="J307" s="6"/>
      <c r="K307" s="6"/>
      <c r="L307" s="6"/>
      <c r="M307" s="6"/>
      <c r="N307" s="6"/>
      <c r="O307" s="7"/>
    </row>
    <row r="308" spans="1:15" s="1" customFormat="1">
      <c r="C308" s="44">
        <f>IF(C295=6,6,IF(C294=5,3,IF(C293=4,4,IF(C292=3,0,0))))</f>
        <v>3</v>
      </c>
      <c r="D308" s="45" t="str">
        <f>IF(C308&gt;0,VLOOKUP(C308,C290:E295,2,FALSE),"")</f>
        <v>武生二中</v>
      </c>
      <c r="E308" s="46" t="str">
        <f>IF(C308&gt;0,VLOOKUP(C308,C290:E295,3,FALSE),"")</f>
        <v>坂下　快斗</v>
      </c>
      <c r="F308" s="8"/>
      <c r="G308" s="9"/>
      <c r="H308" s="9"/>
      <c r="I308" s="9"/>
      <c r="J308" s="9"/>
      <c r="K308" s="9"/>
      <c r="L308" s="9"/>
      <c r="M308" s="9"/>
      <c r="N308" s="9"/>
      <c r="O308" s="10"/>
    </row>
    <row r="309" spans="1:15" s="11" customFormat="1" ht="10.5">
      <c r="C309" s="49"/>
      <c r="D309" s="50"/>
      <c r="E309" s="51"/>
      <c r="F309" s="12"/>
      <c r="G309" s="12"/>
      <c r="H309" s="12"/>
      <c r="I309" s="12"/>
      <c r="J309" s="12"/>
      <c r="K309" s="12"/>
      <c r="L309" s="12"/>
      <c r="M309" s="12"/>
      <c r="N309" s="12"/>
      <c r="O309" s="13"/>
    </row>
    <row r="310" spans="1:15" s="1" customFormat="1">
      <c r="A310" s="1">
        <v>5</v>
      </c>
      <c r="C310" s="41">
        <f>IF(C295=6,3,IF(C294=5,5,IF(C293=4,3,IF(C292=3,0,0))))</f>
        <v>5</v>
      </c>
      <c r="D310" s="42" t="str">
        <f>IF(C310&gt;0,VLOOKUP(C310,C290:E295,2,FALSE),"")</f>
        <v>はしまモア</v>
      </c>
      <c r="E310" s="43" t="str">
        <f>IF(C310&gt;0,VLOOKUP(C310,C290:E295,3,FALSE),"")</f>
        <v>石橋　廉大</v>
      </c>
      <c r="F310" s="5"/>
      <c r="G310" s="6"/>
      <c r="H310" s="6"/>
      <c r="I310" s="6"/>
      <c r="J310" s="6"/>
      <c r="K310" s="6"/>
      <c r="L310" s="6"/>
      <c r="M310" s="6"/>
      <c r="N310" s="6"/>
      <c r="O310" s="7"/>
    </row>
    <row r="311" spans="1:15" s="1" customFormat="1">
      <c r="C311" s="44">
        <f>IF(C295=6,1,IF(C294=5,4,IF(C293=4,4,IF(C292=3,0,0))))</f>
        <v>4</v>
      </c>
      <c r="D311" s="45" t="str">
        <f>IF(C311&gt;0,VLOOKUP(C311,C290:E295,2,FALSE),"")</f>
        <v>速星中学校</v>
      </c>
      <c r="E311" s="46" t="str">
        <f>IF(C311&gt;0,VLOOKUP(C311,C290:E295,3,FALSE),"")</f>
        <v>山岸　凜生</v>
      </c>
      <c r="F311" s="8"/>
      <c r="G311" s="9"/>
      <c r="H311" s="9"/>
      <c r="I311" s="9"/>
      <c r="J311" s="9"/>
      <c r="K311" s="9"/>
      <c r="L311" s="9"/>
      <c r="M311" s="9"/>
      <c r="N311" s="9"/>
      <c r="O311" s="10"/>
    </row>
    <row r="312" spans="1:15" s="11" customFormat="1" ht="10.5">
      <c r="C312" s="49"/>
      <c r="D312" s="50"/>
      <c r="E312" s="51"/>
      <c r="F312" s="12"/>
      <c r="G312" s="12"/>
      <c r="H312" s="12"/>
      <c r="I312" s="12"/>
      <c r="J312" s="12"/>
      <c r="K312" s="12"/>
      <c r="L312" s="12"/>
      <c r="M312" s="12"/>
      <c r="N312" s="12"/>
      <c r="O312" s="13"/>
    </row>
    <row r="313" spans="1:15" s="1" customFormat="1">
      <c r="A313" s="1">
        <v>6</v>
      </c>
      <c r="C313" s="41">
        <f>IF(C295=6,6,IF(C294=5,1,IF(C293=4,1,IF(C292=3,0,0))))</f>
        <v>1</v>
      </c>
      <c r="D313" s="42" t="str">
        <f>IF(C313&gt;0,VLOOKUP(C313,C290:E295,2,FALSE),"")</f>
        <v>愛工大付属</v>
      </c>
      <c r="E313" s="43" t="str">
        <f>IF(C313&gt;0,VLOOKUP(C313,C290:E295,3,FALSE),"")</f>
        <v>弓長　昇主</v>
      </c>
      <c r="F313" s="5"/>
      <c r="G313" s="6"/>
      <c r="H313" s="6"/>
      <c r="I313" s="6"/>
      <c r="J313" s="6"/>
      <c r="K313" s="6"/>
      <c r="L313" s="6"/>
      <c r="M313" s="6"/>
      <c r="N313" s="6"/>
      <c r="O313" s="7"/>
    </row>
    <row r="314" spans="1:15" s="1" customFormat="1">
      <c r="C314" s="44">
        <f>IF(C295=6,4,IF(C294=5,3,IF(C293=4,2,IF(C292=3,0,0))))</f>
        <v>3</v>
      </c>
      <c r="D314" s="45" t="str">
        <f>IF(C314&gt;0,VLOOKUP(C314,C290:E295,2,FALSE),"")</f>
        <v>武生二中</v>
      </c>
      <c r="E314" s="46" t="str">
        <f>IF(C314&gt;0,VLOOKUP(C314,C290:E295,3,FALSE),"")</f>
        <v>坂下　快斗</v>
      </c>
      <c r="F314" s="8"/>
      <c r="G314" s="9"/>
      <c r="H314" s="9"/>
      <c r="I314" s="9"/>
      <c r="J314" s="9"/>
      <c r="K314" s="9"/>
      <c r="L314" s="9"/>
      <c r="M314" s="9"/>
      <c r="N314" s="9"/>
      <c r="O314" s="10"/>
    </row>
    <row r="315" spans="1:15" s="11" customFormat="1" ht="10.5">
      <c r="C315" s="49"/>
      <c r="D315" s="50"/>
      <c r="E315" s="51"/>
      <c r="F315" s="12"/>
      <c r="G315" s="12"/>
      <c r="H315" s="12"/>
      <c r="I315" s="12"/>
      <c r="J315" s="12"/>
      <c r="K315" s="12"/>
      <c r="L315" s="12"/>
      <c r="M315" s="12"/>
      <c r="N315" s="12"/>
      <c r="O315" s="13"/>
    </row>
    <row r="316" spans="1:15" s="1" customFormat="1">
      <c r="A316" s="1">
        <v>7</v>
      </c>
      <c r="C316" s="41">
        <f>IF(C295=6,2,IF(C294=5,2,IF(C293=4,0,0)))</f>
        <v>2</v>
      </c>
      <c r="D316" s="42" t="str">
        <f>IF(C316&gt;0,VLOOKUP(C316,C290:E295,2,FALSE),"")</f>
        <v>速星中学校</v>
      </c>
      <c r="E316" s="43" t="str">
        <f>IF(C316&gt;0,VLOOKUP(C316,C290:E295,3,FALSE),"")</f>
        <v>石川　凌</v>
      </c>
      <c r="F316" s="5"/>
      <c r="G316" s="6"/>
      <c r="H316" s="6"/>
      <c r="I316" s="6"/>
      <c r="J316" s="6"/>
      <c r="K316" s="6"/>
      <c r="L316" s="6"/>
      <c r="M316" s="6"/>
      <c r="N316" s="6"/>
      <c r="O316" s="7"/>
    </row>
    <row r="317" spans="1:15" s="1" customFormat="1">
      <c r="C317" s="44">
        <f>IF(C295=6,5,IF(C294=5,5,IF(C293=4,0,0)))</f>
        <v>5</v>
      </c>
      <c r="D317" s="45" t="str">
        <f>IF(C317&gt;0,VLOOKUP(C317,C290:E295,2,FALSE),"")</f>
        <v>はしまモア</v>
      </c>
      <c r="E317" s="46" t="str">
        <f>IF(C317&gt;0,VLOOKUP(C317,C290:E295,3,FALSE),"")</f>
        <v>石橋　廉大</v>
      </c>
      <c r="F317" s="8"/>
      <c r="G317" s="9"/>
      <c r="H317" s="9"/>
      <c r="I317" s="9"/>
      <c r="J317" s="9"/>
      <c r="K317" s="9"/>
      <c r="L317" s="9"/>
      <c r="M317" s="9"/>
      <c r="N317" s="9"/>
      <c r="O317" s="10"/>
    </row>
    <row r="318" spans="1:15" s="11" customFormat="1" ht="10.5">
      <c r="C318" s="49"/>
      <c r="D318" s="50"/>
      <c r="E318" s="51"/>
      <c r="F318" s="12"/>
      <c r="G318" s="12"/>
      <c r="H318" s="12"/>
      <c r="I318" s="12"/>
      <c r="J318" s="12"/>
      <c r="K318" s="12"/>
      <c r="L318" s="12"/>
      <c r="M318" s="12"/>
      <c r="N318" s="12"/>
      <c r="O318" s="13"/>
    </row>
    <row r="319" spans="1:15" s="1" customFormat="1">
      <c r="A319" s="1">
        <v>8</v>
      </c>
      <c r="C319" s="41">
        <f>IF(C295=6,1,IF(C294=5,4,IF(C293=4,0,0)))</f>
        <v>4</v>
      </c>
      <c r="D319" s="42" t="str">
        <f>IF(C319&gt;0,VLOOKUP(C319,C290:E295,2,FALSE),"")</f>
        <v>速星中学校</v>
      </c>
      <c r="E319" s="43" t="str">
        <f>IF(C319&gt;0,VLOOKUP(C319,C290:E295,3,FALSE),"")</f>
        <v>山岸　凜生</v>
      </c>
      <c r="F319" s="5"/>
      <c r="G319" s="6"/>
      <c r="H319" s="6"/>
      <c r="I319" s="6"/>
      <c r="J319" s="6"/>
      <c r="K319" s="6"/>
      <c r="L319" s="6"/>
      <c r="M319" s="6"/>
      <c r="N319" s="6"/>
      <c r="O319" s="7"/>
    </row>
    <row r="320" spans="1:15" s="1" customFormat="1">
      <c r="C320" s="44">
        <f>IF(C295=6,4,IF(C294=5,1,IF(C293=4,0,0)))</f>
        <v>1</v>
      </c>
      <c r="D320" s="45" t="str">
        <f>IF(C320&gt;0,VLOOKUP(C320,C290:E295,2,FALSE),"")</f>
        <v>愛工大付属</v>
      </c>
      <c r="E320" s="46" t="str">
        <f>IF(C320&gt;0,VLOOKUP(C320,C290:E295,3,FALSE),"")</f>
        <v>弓長　昇主</v>
      </c>
      <c r="F320" s="8"/>
      <c r="G320" s="9"/>
      <c r="H320" s="9"/>
      <c r="I320" s="9"/>
      <c r="J320" s="9"/>
      <c r="K320" s="9"/>
      <c r="L320" s="9"/>
      <c r="M320" s="9"/>
      <c r="N320" s="9"/>
      <c r="O320" s="10"/>
    </row>
    <row r="321" spans="1:15" s="11" customFormat="1" ht="10.5">
      <c r="C321" s="49"/>
      <c r="D321" s="50"/>
      <c r="E321" s="51"/>
      <c r="F321" s="12"/>
      <c r="G321" s="12"/>
      <c r="H321" s="12"/>
      <c r="I321" s="12"/>
      <c r="J321" s="12"/>
      <c r="K321" s="12"/>
      <c r="L321" s="12"/>
      <c r="M321" s="12"/>
      <c r="N321" s="12"/>
      <c r="O321" s="13"/>
    </row>
    <row r="322" spans="1:15" s="1" customFormat="1">
      <c r="A322" s="1">
        <v>9</v>
      </c>
      <c r="C322" s="41">
        <f>IF(C295=6,5,IF(C294=5,3,IF(C293=4,0,0)))</f>
        <v>3</v>
      </c>
      <c r="D322" s="42" t="str">
        <f>IF(C322&gt;0,VLOOKUP(C322,C290:E295,2,FALSE),"")</f>
        <v>武生二中</v>
      </c>
      <c r="E322" s="43" t="str">
        <f>IF(C322&gt;0,VLOOKUP(C322,C290:E295,3,FALSE),"")</f>
        <v>坂下　快斗</v>
      </c>
      <c r="F322" s="5"/>
      <c r="G322" s="6"/>
      <c r="H322" s="6"/>
      <c r="I322" s="6"/>
      <c r="J322" s="6"/>
      <c r="K322" s="6"/>
      <c r="L322" s="6"/>
      <c r="M322" s="6"/>
      <c r="N322" s="6"/>
      <c r="O322" s="7"/>
    </row>
    <row r="323" spans="1:15" s="1" customFormat="1">
      <c r="C323" s="44">
        <f>IF(C295=6,3,IF(C294=5,5,IF(C293=4,0,0)))</f>
        <v>5</v>
      </c>
      <c r="D323" s="45" t="str">
        <f>IF(C323&gt;0,VLOOKUP(C323,C290:E295,2,FALSE),"")</f>
        <v>はしまモア</v>
      </c>
      <c r="E323" s="46" t="str">
        <f>IF(C323&gt;0,VLOOKUP(C323,C290:E295,3,FALSE),"")</f>
        <v>石橋　廉大</v>
      </c>
      <c r="F323" s="8"/>
      <c r="G323" s="9"/>
      <c r="H323" s="9"/>
      <c r="I323" s="9"/>
      <c r="J323" s="9"/>
      <c r="K323" s="9"/>
      <c r="L323" s="9"/>
      <c r="M323" s="9"/>
      <c r="N323" s="9"/>
      <c r="O323" s="10"/>
    </row>
    <row r="324" spans="1:15" s="11" customFormat="1" ht="10.5">
      <c r="C324" s="49"/>
      <c r="D324" s="50"/>
      <c r="E324" s="51"/>
      <c r="F324" s="12"/>
      <c r="G324" s="12"/>
      <c r="H324" s="12"/>
      <c r="I324" s="12"/>
      <c r="J324" s="12"/>
      <c r="K324" s="12"/>
      <c r="L324" s="12"/>
      <c r="M324" s="12"/>
      <c r="N324" s="12"/>
      <c r="O324" s="13"/>
    </row>
    <row r="325" spans="1:15" s="1" customFormat="1">
      <c r="A325" s="1">
        <v>10</v>
      </c>
      <c r="C325" s="41">
        <f>IF(C295=6,1,IF(C294=5,4,IF(C293=4,0,0)))</f>
        <v>4</v>
      </c>
      <c r="D325" s="42" t="str">
        <f>IF(C325&gt;0,VLOOKUP(C325,C290:E295,2,FALSE),"")</f>
        <v>速星中学校</v>
      </c>
      <c r="E325" s="43" t="str">
        <f>IF(C325&gt;0,VLOOKUP(C325,C290:E295,3,FALSE),"")</f>
        <v>山岸　凜生</v>
      </c>
      <c r="F325" s="5"/>
      <c r="G325" s="6"/>
      <c r="H325" s="6"/>
      <c r="I325" s="6"/>
      <c r="J325" s="6"/>
      <c r="K325" s="6"/>
      <c r="L325" s="6"/>
      <c r="M325" s="6"/>
      <c r="N325" s="6"/>
      <c r="O325" s="7"/>
    </row>
    <row r="326" spans="1:15" s="1" customFormat="1">
      <c r="C326" s="44">
        <f>IF(C295=6,6,IF(C294=5,2,IF(C293=4,0,0)))</f>
        <v>2</v>
      </c>
      <c r="D326" s="45" t="str">
        <f>IF(C326&gt;0,VLOOKUP(C326,C290:E295,2,FALSE),"")</f>
        <v>速星中学校</v>
      </c>
      <c r="E326" s="46" t="str">
        <f>IF(C326&gt;0,VLOOKUP(C326,C290:E295,3,FALSE),"")</f>
        <v>石川　凌</v>
      </c>
      <c r="F326" s="8"/>
      <c r="G326" s="9"/>
      <c r="H326" s="9"/>
      <c r="I326" s="9"/>
      <c r="J326" s="9"/>
      <c r="K326" s="9"/>
      <c r="L326" s="9"/>
      <c r="M326" s="9"/>
      <c r="N326" s="9"/>
      <c r="O326" s="10"/>
    </row>
    <row r="327" spans="1:15" s="11" customFormat="1" ht="10.5">
      <c r="C327" s="49"/>
      <c r="D327" s="50"/>
      <c r="E327" s="51"/>
      <c r="F327" s="12"/>
      <c r="G327" s="12"/>
      <c r="H327" s="12"/>
      <c r="I327" s="12"/>
      <c r="J327" s="12"/>
      <c r="K327" s="12"/>
      <c r="L327" s="12"/>
      <c r="M327" s="12"/>
      <c r="N327" s="12"/>
      <c r="O327" s="13"/>
    </row>
    <row r="328" spans="1:15" s="1" customFormat="1">
      <c r="A328" s="1">
        <v>11</v>
      </c>
      <c r="C328" s="41">
        <f>IF(C295=6,4,0)</f>
        <v>0</v>
      </c>
      <c r="D328" s="42" t="str">
        <f>IF(C328&gt;0,VLOOKUP(C328,C290:E295,2,FALSE),"")</f>
        <v/>
      </c>
      <c r="E328" s="43" t="str">
        <f>IF(C328&gt;0,VLOOKUP(C328,C290:E295,3,FALSE),"")</f>
        <v/>
      </c>
      <c r="F328" s="5"/>
      <c r="G328" s="6"/>
      <c r="H328" s="6"/>
      <c r="I328" s="6"/>
      <c r="J328" s="6"/>
      <c r="K328" s="6"/>
      <c r="L328" s="6"/>
      <c r="M328" s="6"/>
      <c r="N328" s="6"/>
      <c r="O328" s="7"/>
    </row>
    <row r="329" spans="1:15" s="1" customFormat="1">
      <c r="C329" s="44">
        <f>IF(C295=6,2,0)</f>
        <v>0</v>
      </c>
      <c r="D329" s="45" t="str">
        <f>IF(C329&gt;0,VLOOKUP(C329,C290:E295,2,FALSE),"")</f>
        <v/>
      </c>
      <c r="E329" s="46" t="str">
        <f>IF(C329&gt;0,VLOOKUP(C329,C290:E295,3,FALSE),"")</f>
        <v/>
      </c>
      <c r="F329" s="8"/>
      <c r="G329" s="9"/>
      <c r="H329" s="9"/>
      <c r="I329" s="9"/>
      <c r="J329" s="9"/>
      <c r="K329" s="9"/>
      <c r="L329" s="9"/>
      <c r="M329" s="9"/>
      <c r="N329" s="9"/>
      <c r="O329" s="10"/>
    </row>
    <row r="330" spans="1:15" s="11" customFormat="1" ht="10.5">
      <c r="C330" s="49"/>
      <c r="D330" s="50"/>
      <c r="E330" s="51"/>
      <c r="F330" s="12"/>
      <c r="G330" s="12"/>
      <c r="H330" s="12"/>
      <c r="I330" s="12"/>
      <c r="J330" s="12"/>
      <c r="K330" s="12"/>
      <c r="L330" s="12"/>
      <c r="M330" s="12"/>
      <c r="N330" s="12"/>
      <c r="O330" s="13"/>
    </row>
    <row r="331" spans="1:15" s="1" customFormat="1">
      <c r="A331" s="1">
        <v>12</v>
      </c>
      <c r="C331" s="41">
        <f>IF(C295=6,3,0)</f>
        <v>0</v>
      </c>
      <c r="D331" s="42" t="str">
        <f>IF(C331&gt;0,VLOOKUP(C331,C290:E295,2,FALSE),"")</f>
        <v/>
      </c>
      <c r="E331" s="43" t="str">
        <f>IF(C331&gt;0,VLOOKUP(C331,C290:E295,3,FALSE),"")</f>
        <v/>
      </c>
      <c r="F331" s="5"/>
      <c r="G331" s="6"/>
      <c r="H331" s="6"/>
      <c r="I331" s="6"/>
      <c r="J331" s="6"/>
      <c r="K331" s="6"/>
      <c r="L331" s="6"/>
      <c r="M331" s="6"/>
      <c r="N331" s="6"/>
      <c r="O331" s="7"/>
    </row>
    <row r="332" spans="1:15" s="1" customFormat="1" ht="13.5" customHeight="1">
      <c r="C332" s="44">
        <f>IF(C295=6,6,0)</f>
        <v>0</v>
      </c>
      <c r="D332" s="45" t="str">
        <f>IF(C332&gt;0,VLOOKUP(C332,C290:E295,2,FALSE),"")</f>
        <v/>
      </c>
      <c r="E332" s="46" t="str">
        <f>IF(C332&gt;0,VLOOKUP(C332,C290:E295,3,FALSE),"")</f>
        <v/>
      </c>
      <c r="F332" s="8"/>
      <c r="G332" s="9"/>
      <c r="H332" s="9"/>
      <c r="I332" s="9"/>
      <c r="J332" s="9"/>
      <c r="K332" s="9"/>
      <c r="L332" s="9"/>
      <c r="M332" s="9"/>
      <c r="N332" s="9"/>
      <c r="O332" s="10"/>
    </row>
    <row r="333" spans="1:15" s="11" customFormat="1" ht="10.5">
      <c r="C333" s="49"/>
      <c r="D333" s="50"/>
      <c r="E333" s="51"/>
      <c r="F333" s="12"/>
      <c r="G333" s="12"/>
      <c r="H333" s="12"/>
      <c r="I333" s="12"/>
      <c r="J333" s="12"/>
      <c r="K333" s="12"/>
      <c r="L333" s="12"/>
      <c r="M333" s="12"/>
      <c r="N333" s="12"/>
      <c r="O333" s="13"/>
    </row>
    <row r="334" spans="1:15" s="1" customFormat="1">
      <c r="A334" s="1">
        <v>13</v>
      </c>
      <c r="C334" s="41">
        <f>IF(C295=6,5,0)</f>
        <v>0</v>
      </c>
      <c r="D334" s="42" t="str">
        <f>IF(C334&gt;0,VLOOKUP(C334,C290:E295,2,FALSE),"")</f>
        <v/>
      </c>
      <c r="E334" s="43" t="str">
        <f>IF(C334&gt;0,VLOOKUP(C334,C290:E295,3,FALSE),"")</f>
        <v/>
      </c>
      <c r="F334" s="5"/>
      <c r="G334" s="6"/>
      <c r="H334" s="6"/>
      <c r="I334" s="6"/>
      <c r="J334" s="6"/>
      <c r="K334" s="6"/>
      <c r="L334" s="6"/>
      <c r="M334" s="6"/>
      <c r="N334" s="6"/>
      <c r="O334" s="7"/>
    </row>
    <row r="335" spans="1:15" s="1" customFormat="1">
      <c r="C335" s="44">
        <f>IF(C295=6,1,0)</f>
        <v>0</v>
      </c>
      <c r="D335" s="45" t="str">
        <f>IF(C335&gt;0,VLOOKUP(C335,C290:E295,2,FALSE),"")</f>
        <v/>
      </c>
      <c r="E335" s="46" t="str">
        <f>IF(C335&gt;0,VLOOKUP(C335,C290:E295,3,FALSE),"")</f>
        <v/>
      </c>
      <c r="F335" s="8"/>
      <c r="G335" s="9"/>
      <c r="H335" s="9"/>
      <c r="I335" s="9"/>
      <c r="J335" s="9"/>
      <c r="K335" s="9"/>
      <c r="L335" s="9"/>
      <c r="M335" s="9"/>
      <c r="N335" s="9"/>
      <c r="O335" s="10"/>
    </row>
    <row r="336" spans="1:15" s="11" customFormat="1" ht="10.5">
      <c r="C336" s="49"/>
      <c r="D336" s="50"/>
      <c r="E336" s="51"/>
      <c r="F336" s="12"/>
      <c r="G336" s="12"/>
      <c r="H336" s="12"/>
      <c r="I336" s="12"/>
      <c r="J336" s="12"/>
      <c r="K336" s="12"/>
      <c r="L336" s="12"/>
      <c r="M336" s="12"/>
      <c r="N336" s="12"/>
      <c r="O336" s="13"/>
    </row>
    <row r="337" spans="1:16" s="1" customFormat="1">
      <c r="A337" s="1">
        <v>14</v>
      </c>
      <c r="C337" s="41">
        <f>IF(C295=6,3,0)</f>
        <v>0</v>
      </c>
      <c r="D337" s="42" t="str">
        <f>IF(C337&gt;0,VLOOKUP(C337,C290:E295,2,FALSE),"")</f>
        <v/>
      </c>
      <c r="E337" s="43" t="str">
        <f>IF(C337&gt;0,VLOOKUP(C337,C290:E295,3,FALSE),"")</f>
        <v/>
      </c>
      <c r="F337" s="5"/>
      <c r="G337" s="6"/>
      <c r="H337" s="6"/>
      <c r="I337" s="6"/>
      <c r="J337" s="6"/>
      <c r="K337" s="6"/>
      <c r="L337" s="6"/>
      <c r="M337" s="6"/>
      <c r="N337" s="6"/>
      <c r="O337" s="7"/>
    </row>
    <row r="338" spans="1:16" s="1" customFormat="1">
      <c r="C338" s="44">
        <f>IF(C295=6,4,0)</f>
        <v>0</v>
      </c>
      <c r="D338" s="45" t="str">
        <f>IF(C338&gt;0,VLOOKUP(C338,C290:E295,2,FALSE),"")</f>
        <v/>
      </c>
      <c r="E338" s="46" t="str">
        <f>IF(C338&gt;0,VLOOKUP(C338,C290:E295,3,FALSE),"")</f>
        <v/>
      </c>
      <c r="F338" s="8"/>
      <c r="G338" s="9"/>
      <c r="H338" s="9"/>
      <c r="I338" s="9"/>
      <c r="J338" s="9"/>
      <c r="K338" s="9"/>
      <c r="L338" s="9"/>
      <c r="M338" s="9"/>
      <c r="N338" s="9"/>
      <c r="O338" s="10"/>
    </row>
    <row r="339" spans="1:16" s="11" customFormat="1" ht="10.5">
      <c r="C339" s="49"/>
      <c r="D339" s="50"/>
      <c r="E339" s="51"/>
      <c r="F339" s="12"/>
      <c r="G339" s="12"/>
      <c r="H339" s="12"/>
      <c r="I339" s="12"/>
      <c r="J339" s="12"/>
      <c r="K339" s="12"/>
      <c r="L339" s="12"/>
      <c r="M339" s="12"/>
      <c r="N339" s="12"/>
      <c r="O339" s="13"/>
    </row>
    <row r="340" spans="1:16" s="1" customFormat="1">
      <c r="A340" s="1">
        <v>15</v>
      </c>
      <c r="C340" s="41">
        <f>IF(C295=6,6,0)</f>
        <v>0</v>
      </c>
      <c r="D340" s="42" t="str">
        <f>IF(C340&gt;0,VLOOKUP(C340,C290:E295,2,FALSE),"")</f>
        <v/>
      </c>
      <c r="E340" s="43" t="str">
        <f>IF(C340&gt;0,VLOOKUP(C340,C290:E295,3,FALSE),"")</f>
        <v/>
      </c>
      <c r="F340" s="5"/>
      <c r="G340" s="6"/>
      <c r="H340" s="6"/>
      <c r="I340" s="6"/>
      <c r="J340" s="6"/>
      <c r="K340" s="6"/>
      <c r="L340" s="6"/>
      <c r="M340" s="6"/>
      <c r="N340" s="6"/>
      <c r="O340" s="7"/>
    </row>
    <row r="341" spans="1:16" s="1" customFormat="1">
      <c r="C341" s="44">
        <f>IF(C295=6,2,0)</f>
        <v>0</v>
      </c>
      <c r="D341" s="45" t="str">
        <f>IF(C341&gt;0,VLOOKUP(C341,C290:E295,2,FALSE),"")</f>
        <v/>
      </c>
      <c r="E341" s="46" t="str">
        <f>IF(C341&gt;0,VLOOKUP(C341,C290:E295,3,FALSE),"")</f>
        <v/>
      </c>
      <c r="F341" s="8"/>
      <c r="G341" s="9"/>
      <c r="H341" s="9"/>
      <c r="I341" s="9"/>
      <c r="J341" s="9"/>
      <c r="K341" s="9"/>
      <c r="L341" s="9"/>
      <c r="M341" s="9"/>
      <c r="N341" s="9"/>
      <c r="O341" s="10"/>
    </row>
    <row r="342" spans="1:16" s="104" customFormat="1" ht="10.5">
      <c r="C342" s="107"/>
      <c r="D342" s="52"/>
      <c r="E342" s="53"/>
      <c r="F342" s="108"/>
      <c r="G342" s="108"/>
      <c r="H342" s="108"/>
      <c r="I342" s="108"/>
      <c r="J342" s="108"/>
      <c r="K342" s="108"/>
      <c r="L342" s="108"/>
      <c r="M342" s="108"/>
      <c r="N342" s="108"/>
      <c r="O342" s="109"/>
    </row>
    <row r="343" spans="1:16" s="57" customFormat="1" ht="17.25">
      <c r="A343" s="321" t="str">
        <f>名簿!$A$1</f>
        <v>第9回川本杯はしまモアフェンシング大会</v>
      </c>
      <c r="B343" s="321"/>
      <c r="C343" s="321"/>
      <c r="D343" s="321"/>
      <c r="E343" s="321"/>
      <c r="F343" s="321"/>
      <c r="G343" s="321"/>
      <c r="H343" s="321"/>
      <c r="I343" s="321"/>
      <c r="J343" s="321"/>
      <c r="K343" s="268" t="s">
        <v>72</v>
      </c>
      <c r="L343" s="322" t="s">
        <v>73</v>
      </c>
      <c r="M343" s="322"/>
      <c r="N343" s="322"/>
      <c r="O343" s="323"/>
    </row>
    <row r="344" spans="1:16" s="58" customFormat="1" ht="14.25">
      <c r="A344" s="318" t="str">
        <f>"　"&amp;名簿!$A$2</f>
        <v>　中学男子</v>
      </c>
      <c r="B344" s="318"/>
      <c r="C344" s="318"/>
      <c r="D344" s="318"/>
      <c r="E344" s="318"/>
      <c r="F344" s="318"/>
      <c r="G344" s="318"/>
      <c r="H344" s="318"/>
      <c r="I344" s="318"/>
      <c r="J344" s="318"/>
      <c r="K344" s="269"/>
      <c r="L344" s="319" t="s">
        <v>74</v>
      </c>
      <c r="M344" s="319"/>
      <c r="N344" s="319"/>
      <c r="O344" s="320"/>
    </row>
    <row r="345" spans="1:16" s="58" customFormat="1" ht="14.25">
      <c r="A345" s="314" t="str">
        <f>"　　"&amp;名簿!$A$3</f>
        <v>　　1回戦</v>
      </c>
      <c r="B345" s="314"/>
      <c r="C345" s="314"/>
      <c r="D345" s="314"/>
      <c r="E345" s="314"/>
      <c r="K345" s="315">
        <f>名簿!$E$3</f>
        <v>43184</v>
      </c>
      <c r="L345" s="315"/>
      <c r="M345" s="315"/>
      <c r="N345" s="315"/>
      <c r="O345" s="315"/>
    </row>
    <row r="346" spans="1:16">
      <c r="A346" s="59" t="s">
        <v>57</v>
      </c>
      <c r="B346" s="60" t="s">
        <v>13</v>
      </c>
      <c r="C346" s="61" t="s">
        <v>0</v>
      </c>
      <c r="D346" s="62" t="s">
        <v>7</v>
      </c>
      <c r="E346" s="63" t="s">
        <v>8</v>
      </c>
      <c r="F346" s="64">
        <v>1</v>
      </c>
      <c r="G346" s="65">
        <v>2</v>
      </c>
      <c r="H346" s="65">
        <v>3</v>
      </c>
      <c r="I346" s="65">
        <v>4</v>
      </c>
      <c r="J346" s="65">
        <v>5</v>
      </c>
      <c r="K346" s="66">
        <v>6</v>
      </c>
      <c r="L346" s="67" t="s">
        <v>58</v>
      </c>
      <c r="M346" s="68" t="s">
        <v>59</v>
      </c>
      <c r="N346" s="316" t="s">
        <v>6</v>
      </c>
      <c r="O346" s="317"/>
      <c r="P346" s="69"/>
    </row>
    <row r="347" spans="1:16" ht="18" customHeight="1">
      <c r="A347" s="71">
        <f>'予選 Ｐ'!A41</f>
        <v>7</v>
      </c>
      <c r="B347" s="72">
        <f>'予選 Ｐ'!B41</f>
        <v>7</v>
      </c>
      <c r="C347" s="73">
        <f>'予選 Ｐ'!C41</f>
        <v>1</v>
      </c>
      <c r="D347" s="34" t="str">
        <f>'予選 Ｐ'!E41</f>
        <v>光が丘フェンシング</v>
      </c>
      <c r="E347" s="35" t="str">
        <f>'予選 Ｐ'!F41</f>
        <v>黒澤　塁</v>
      </c>
      <c r="F347" s="74"/>
      <c r="G347" s="75"/>
      <c r="H347" s="75"/>
      <c r="I347" s="75"/>
      <c r="J347" s="75"/>
      <c r="K347" s="76"/>
      <c r="L347" s="77"/>
      <c r="M347" s="78"/>
      <c r="N347" s="79"/>
      <c r="O347" s="80"/>
      <c r="P347" s="81"/>
    </row>
    <row r="348" spans="1:16" ht="18" customHeight="1">
      <c r="A348" s="82">
        <f>'予選 Ｐ'!A42</f>
        <v>7</v>
      </c>
      <c r="B348" s="83">
        <f>'予選 Ｐ'!B42</f>
        <v>12</v>
      </c>
      <c r="C348" s="84">
        <f>'予選 Ｐ'!C42</f>
        <v>2</v>
      </c>
      <c r="D348" s="36" t="str">
        <f>'予選 Ｐ'!E42</f>
        <v>長野ジュニア</v>
      </c>
      <c r="E348" s="35" t="str">
        <f>'予選 Ｐ'!F42</f>
        <v>杉岡　瑞基</v>
      </c>
      <c r="F348" s="85"/>
      <c r="G348" s="86"/>
      <c r="H348" s="87"/>
      <c r="I348" s="87"/>
      <c r="J348" s="87"/>
      <c r="K348" s="88"/>
      <c r="L348" s="89"/>
      <c r="M348" s="90"/>
      <c r="N348" s="91"/>
      <c r="O348" s="92"/>
      <c r="P348" s="81"/>
    </row>
    <row r="349" spans="1:16" ht="18" customHeight="1">
      <c r="A349" s="82">
        <f>'予選 Ｐ'!A43</f>
        <v>7</v>
      </c>
      <c r="B349" s="83">
        <f>'予選 Ｐ'!B43</f>
        <v>19</v>
      </c>
      <c r="C349" s="84">
        <f>'予選 Ｐ'!C43</f>
        <v>3</v>
      </c>
      <c r="D349" s="36" t="str">
        <f>'予選 Ｐ'!E43</f>
        <v>速星中学校</v>
      </c>
      <c r="E349" s="35" t="str">
        <f>'予選 Ｐ'!F43</f>
        <v>飯田　龍基</v>
      </c>
      <c r="F349" s="85"/>
      <c r="G349" s="87"/>
      <c r="H349" s="86"/>
      <c r="I349" s="87"/>
      <c r="J349" s="87"/>
      <c r="K349" s="88"/>
      <c r="L349" s="89"/>
      <c r="M349" s="90"/>
      <c r="N349" s="91"/>
      <c r="O349" s="92"/>
      <c r="P349" s="81"/>
    </row>
    <row r="350" spans="1:16" ht="18" customHeight="1">
      <c r="A350" s="82">
        <f>'予選 Ｐ'!A44</f>
        <v>7</v>
      </c>
      <c r="B350" s="83">
        <f>IF('予選 Ｐ'!B44="","",'予選 Ｐ'!B44)</f>
        <v>34</v>
      </c>
      <c r="C350" s="84">
        <f>'予選 Ｐ'!C44</f>
        <v>4</v>
      </c>
      <c r="D350" s="36" t="str">
        <f>'予選 Ｐ'!E44</f>
        <v>婦中ＪＦＣ</v>
      </c>
      <c r="E350" s="35" t="str">
        <f>'予選 Ｐ'!F44</f>
        <v>横山　慶汰</v>
      </c>
      <c r="F350" s="85"/>
      <c r="G350" s="87"/>
      <c r="H350" s="87"/>
      <c r="I350" s="86"/>
      <c r="J350" s="87"/>
      <c r="K350" s="88"/>
      <c r="L350" s="89"/>
      <c r="M350" s="90"/>
      <c r="N350" s="91"/>
      <c r="O350" s="92"/>
      <c r="P350" s="81"/>
    </row>
    <row r="351" spans="1:16" ht="18" customHeight="1">
      <c r="A351" s="82">
        <f>'予選 Ｐ'!A45</f>
        <v>7</v>
      </c>
      <c r="B351" s="83">
        <f>IF('予選 Ｐ'!B45="","",'予選 Ｐ'!B45)</f>
        <v>49</v>
      </c>
      <c r="C351" s="84">
        <f>'予選 Ｐ'!C45</f>
        <v>5</v>
      </c>
      <c r="D351" s="36" t="str">
        <f>'予選 Ｐ'!E45</f>
        <v>はしまモア</v>
      </c>
      <c r="E351" s="35" t="str">
        <f>'予選 Ｐ'!F45</f>
        <v>今井　大河</v>
      </c>
      <c r="F351" s="85"/>
      <c r="G351" s="87"/>
      <c r="H351" s="87"/>
      <c r="I351" s="87"/>
      <c r="J351" s="86"/>
      <c r="K351" s="88"/>
      <c r="L351" s="89"/>
      <c r="M351" s="90"/>
      <c r="N351" s="91"/>
      <c r="O351" s="92"/>
      <c r="P351" s="81"/>
    </row>
    <row r="352" spans="1:16" ht="18" customHeight="1">
      <c r="A352" s="93" t="str">
        <f>'予選 Ｐ'!A46</f>
        <v/>
      </c>
      <c r="B352" s="94" t="str">
        <f>IF('予選 Ｐ'!B46="","",'予選 Ｐ'!B46)</f>
        <v/>
      </c>
      <c r="C352" s="95" t="str">
        <f>'予選 Ｐ'!C46</f>
        <v/>
      </c>
      <c r="D352" s="37" t="str">
        <f>'予選 Ｐ'!E46</f>
        <v/>
      </c>
      <c r="E352" s="96" t="str">
        <f>'予選 Ｐ'!F46</f>
        <v/>
      </c>
      <c r="F352" s="97"/>
      <c r="G352" s="98"/>
      <c r="H352" s="98"/>
      <c r="I352" s="98"/>
      <c r="J352" s="98"/>
      <c r="K352" s="99"/>
      <c r="L352" s="100"/>
      <c r="M352" s="101"/>
      <c r="N352" s="102"/>
      <c r="O352" s="103"/>
      <c r="P352" s="81"/>
    </row>
    <row r="353" spans="1:15" s="104" customFormat="1" ht="10.5">
      <c r="D353" s="105"/>
      <c r="E353" s="106"/>
    </row>
    <row r="354" spans="1:15" s="1" customFormat="1">
      <c r="C354" s="38" t="s">
        <v>37</v>
      </c>
      <c r="D354" s="39" t="s">
        <v>16</v>
      </c>
      <c r="E354" s="40" t="s">
        <v>8</v>
      </c>
      <c r="F354" s="2">
        <v>1</v>
      </c>
      <c r="G354" s="3">
        <v>2</v>
      </c>
      <c r="H354" s="3">
        <v>3</v>
      </c>
      <c r="I354" s="3">
        <v>4</v>
      </c>
      <c r="J354" s="3">
        <v>5</v>
      </c>
      <c r="K354" s="3">
        <v>6</v>
      </c>
      <c r="L354" s="3">
        <v>7</v>
      </c>
      <c r="M354" s="3">
        <v>8</v>
      </c>
      <c r="N354" s="3">
        <v>9</v>
      </c>
      <c r="O354" s="4" t="s">
        <v>5</v>
      </c>
    </row>
    <row r="355" spans="1:15" s="1" customFormat="1">
      <c r="A355" s="1">
        <v>1</v>
      </c>
      <c r="C355" s="41">
        <v>1</v>
      </c>
      <c r="D355" s="42" t="str">
        <f>IF(C355&gt;0,VLOOKUP(C355,C347:E352,2,FALSE),"")</f>
        <v>光が丘フェンシング</v>
      </c>
      <c r="E355" s="43" t="str">
        <f>IF(C355&gt;0,VLOOKUP(C355,C347:E352,3,FALSE),"")</f>
        <v>黒澤　塁</v>
      </c>
      <c r="F355" s="5"/>
      <c r="G355" s="6"/>
      <c r="H355" s="6"/>
      <c r="I355" s="6"/>
      <c r="J355" s="6"/>
      <c r="K355" s="6"/>
      <c r="L355" s="6"/>
      <c r="M355" s="6"/>
      <c r="N355" s="6"/>
      <c r="O355" s="7"/>
    </row>
    <row r="356" spans="1:15" s="1" customFormat="1">
      <c r="C356" s="44">
        <f>IF(C352=6,2,IF(C351=5,2,IF(C350=4,4,IF(C349=3,3))))</f>
        <v>2</v>
      </c>
      <c r="D356" s="45" t="str">
        <f>IF(C356&gt;0,VLOOKUP(C356,C347:E352,2,FALSE),"")</f>
        <v>長野ジュニア</v>
      </c>
      <c r="E356" s="46" t="str">
        <f>IF(C356&gt;0,VLOOKUP(C356,C347:E352,3,FALSE),"")</f>
        <v>杉岡　瑞基</v>
      </c>
      <c r="F356" s="8"/>
      <c r="G356" s="9"/>
      <c r="H356" s="9"/>
      <c r="I356" s="9"/>
      <c r="J356" s="9"/>
      <c r="K356" s="9"/>
      <c r="L356" s="9"/>
      <c r="M356" s="9"/>
      <c r="N356" s="9"/>
      <c r="O356" s="10"/>
    </row>
    <row r="357" spans="1:15" s="11" customFormat="1" ht="10.5">
      <c r="D357" s="47"/>
      <c r="E357" s="48"/>
    </row>
    <row r="358" spans="1:15" s="1" customFormat="1">
      <c r="A358" s="1">
        <v>2</v>
      </c>
      <c r="C358" s="41">
        <f>IF(C352=6,4,IF(C351=5,3,IF(C350=4,2,IF(C349=3,2))))</f>
        <v>3</v>
      </c>
      <c r="D358" s="42" t="str">
        <f>IF(C358&gt;0,VLOOKUP(C358,C347:E352,2,FALSE),"")</f>
        <v>速星中学校</v>
      </c>
      <c r="E358" s="43" t="str">
        <f>IF(C358&gt;0,VLOOKUP(C358,C347:E352,3,FALSE),"")</f>
        <v>飯田　龍基</v>
      </c>
      <c r="F358" s="5"/>
      <c r="G358" s="6"/>
      <c r="H358" s="6"/>
      <c r="I358" s="6"/>
      <c r="J358" s="6"/>
      <c r="K358" s="6"/>
      <c r="L358" s="6"/>
      <c r="M358" s="6"/>
      <c r="N358" s="6"/>
      <c r="O358" s="7"/>
    </row>
    <row r="359" spans="1:15" s="1" customFormat="1">
      <c r="C359" s="44">
        <f>IF(C352=6,5,IF(C351=5,4,IF(C350=4,3,IF(C349=3,3))))</f>
        <v>4</v>
      </c>
      <c r="D359" s="45" t="str">
        <f>IF(C359&gt;0,VLOOKUP(C359,C347:E352,2,FALSE),"")</f>
        <v>婦中ＪＦＣ</v>
      </c>
      <c r="E359" s="46" t="str">
        <f>IF(C359&gt;0,VLOOKUP(C359,C347:E352,3,FALSE),"")</f>
        <v>横山　慶汰</v>
      </c>
      <c r="F359" s="8"/>
      <c r="G359" s="9"/>
      <c r="H359" s="9"/>
      <c r="I359" s="9"/>
      <c r="J359" s="9"/>
      <c r="K359" s="9"/>
      <c r="L359" s="9"/>
      <c r="M359" s="9"/>
      <c r="N359" s="9"/>
      <c r="O359" s="10"/>
    </row>
    <row r="360" spans="1:15" s="11" customFormat="1" ht="10.5">
      <c r="D360" s="47"/>
      <c r="E360" s="48"/>
    </row>
    <row r="361" spans="1:15" s="1" customFormat="1">
      <c r="A361" s="1">
        <v>3</v>
      </c>
      <c r="C361" s="41">
        <f>IF(C352=6,2,IF(C351=5,5,IF(C350=4,1,IF(C349=3,1))))</f>
        <v>5</v>
      </c>
      <c r="D361" s="42" t="str">
        <f>IF(C361&gt;0,VLOOKUP(C361,C347:E352,2,FALSE),"")</f>
        <v>はしまモア</v>
      </c>
      <c r="E361" s="43" t="str">
        <f>IF(C361&gt;0,VLOOKUP(C361,C347:E352,3,FALSE),"")</f>
        <v>今井　大河</v>
      </c>
      <c r="F361" s="5"/>
      <c r="G361" s="6"/>
      <c r="H361" s="6"/>
      <c r="I361" s="6"/>
      <c r="J361" s="6"/>
      <c r="K361" s="6"/>
      <c r="L361" s="6"/>
      <c r="M361" s="6"/>
      <c r="N361" s="6"/>
      <c r="O361" s="7"/>
    </row>
    <row r="362" spans="1:15" s="1" customFormat="1">
      <c r="C362" s="44">
        <f>IF(C352=6,3,IF(C351=5,1,IF(C350=4,3,IF(C349=3,2))))</f>
        <v>1</v>
      </c>
      <c r="D362" s="45" t="str">
        <f>IF(C362&gt;0,VLOOKUP(C362,C347:E352,2,FALSE),"")</f>
        <v>光が丘フェンシング</v>
      </c>
      <c r="E362" s="46" t="str">
        <f>IF(C362&gt;0,VLOOKUP(C362,C347:E352,3,FALSE),"")</f>
        <v>黒澤　塁</v>
      </c>
      <c r="F362" s="8"/>
      <c r="G362" s="9"/>
      <c r="H362" s="9"/>
      <c r="I362" s="9"/>
      <c r="J362" s="9"/>
      <c r="K362" s="9"/>
      <c r="L362" s="9"/>
      <c r="M362" s="9"/>
      <c r="N362" s="9"/>
      <c r="O362" s="10"/>
    </row>
    <row r="363" spans="1:15" s="11" customFormat="1" ht="10.5">
      <c r="C363" s="49"/>
      <c r="D363" s="50"/>
      <c r="E363" s="51"/>
      <c r="F363" s="12"/>
      <c r="G363" s="12"/>
      <c r="H363" s="12"/>
      <c r="I363" s="12"/>
      <c r="J363" s="12"/>
      <c r="K363" s="12"/>
      <c r="L363" s="12"/>
      <c r="M363" s="12"/>
      <c r="N363" s="12"/>
      <c r="O363" s="13"/>
    </row>
    <row r="364" spans="1:15" s="1" customFormat="1">
      <c r="A364" s="1">
        <v>4</v>
      </c>
      <c r="C364" s="41">
        <f>IF(C352=6,5,IF(C351=5,2,IF(C350=4,2,IF(C349=3,0,0))))</f>
        <v>2</v>
      </c>
      <c r="D364" s="42" t="str">
        <f>IF(C364&gt;0,VLOOKUP(C364,C347:E352,2,FALSE),"")</f>
        <v>長野ジュニア</v>
      </c>
      <c r="E364" s="43" t="str">
        <f>IF(C364&gt;0,VLOOKUP(C364,C347:E352,3,FALSE),"")</f>
        <v>杉岡　瑞基</v>
      </c>
      <c r="F364" s="5"/>
      <c r="G364" s="6"/>
      <c r="H364" s="6"/>
      <c r="I364" s="6"/>
      <c r="J364" s="6"/>
      <c r="K364" s="6"/>
      <c r="L364" s="6"/>
      <c r="M364" s="6"/>
      <c r="N364" s="6"/>
      <c r="O364" s="7"/>
    </row>
    <row r="365" spans="1:15" s="1" customFormat="1">
      <c r="C365" s="44">
        <f>IF(C352=6,6,IF(C351=5,3,IF(C350=4,4,IF(C349=3,0,0))))</f>
        <v>3</v>
      </c>
      <c r="D365" s="45" t="str">
        <f>IF(C365&gt;0,VLOOKUP(C365,C347:E352,2,FALSE),"")</f>
        <v>速星中学校</v>
      </c>
      <c r="E365" s="46" t="str">
        <f>IF(C365&gt;0,VLOOKUP(C365,C347:E352,3,FALSE),"")</f>
        <v>飯田　龍基</v>
      </c>
      <c r="F365" s="8"/>
      <c r="G365" s="9"/>
      <c r="H365" s="9"/>
      <c r="I365" s="9"/>
      <c r="J365" s="9"/>
      <c r="K365" s="9"/>
      <c r="L365" s="9"/>
      <c r="M365" s="9"/>
      <c r="N365" s="9"/>
      <c r="O365" s="10"/>
    </row>
    <row r="366" spans="1:15" s="11" customFormat="1" ht="10.5">
      <c r="C366" s="49"/>
      <c r="D366" s="50"/>
      <c r="E366" s="51"/>
      <c r="F366" s="12"/>
      <c r="G366" s="12"/>
      <c r="H366" s="12"/>
      <c r="I366" s="12"/>
      <c r="J366" s="12"/>
      <c r="K366" s="12"/>
      <c r="L366" s="12"/>
      <c r="M366" s="12"/>
      <c r="N366" s="12"/>
      <c r="O366" s="13"/>
    </row>
    <row r="367" spans="1:15" s="1" customFormat="1">
      <c r="A367" s="1">
        <v>5</v>
      </c>
      <c r="C367" s="41">
        <f>IF(C352=6,3,IF(C351=5,5,IF(C350=4,3,IF(C349=3,0,0))))</f>
        <v>5</v>
      </c>
      <c r="D367" s="42" t="str">
        <f>IF(C367&gt;0,VLOOKUP(C367,C347:E352,2,FALSE),"")</f>
        <v>はしまモア</v>
      </c>
      <c r="E367" s="43" t="str">
        <f>IF(C367&gt;0,VLOOKUP(C367,C347:E352,3,FALSE),"")</f>
        <v>今井　大河</v>
      </c>
      <c r="F367" s="5"/>
      <c r="G367" s="6"/>
      <c r="H367" s="6"/>
      <c r="I367" s="6"/>
      <c r="J367" s="6"/>
      <c r="K367" s="6"/>
      <c r="L367" s="6"/>
      <c r="M367" s="6"/>
      <c r="N367" s="6"/>
      <c r="O367" s="7"/>
    </row>
    <row r="368" spans="1:15" s="1" customFormat="1">
      <c r="C368" s="44">
        <f>IF(C352=6,1,IF(C351=5,4,IF(C350=4,4,IF(C349=3,0,0))))</f>
        <v>4</v>
      </c>
      <c r="D368" s="45" t="str">
        <f>IF(C368&gt;0,VLOOKUP(C368,C347:E352,2,FALSE),"")</f>
        <v>婦中ＪＦＣ</v>
      </c>
      <c r="E368" s="46" t="str">
        <f>IF(C368&gt;0,VLOOKUP(C368,C347:E352,3,FALSE),"")</f>
        <v>横山　慶汰</v>
      </c>
      <c r="F368" s="8"/>
      <c r="G368" s="9"/>
      <c r="H368" s="9"/>
      <c r="I368" s="9"/>
      <c r="J368" s="9"/>
      <c r="K368" s="9"/>
      <c r="L368" s="9"/>
      <c r="M368" s="9"/>
      <c r="N368" s="9"/>
      <c r="O368" s="10"/>
    </row>
    <row r="369" spans="1:15" s="11" customFormat="1" ht="10.5">
      <c r="C369" s="49"/>
      <c r="D369" s="50"/>
      <c r="E369" s="51"/>
      <c r="F369" s="12"/>
      <c r="G369" s="12"/>
      <c r="H369" s="12"/>
      <c r="I369" s="12"/>
      <c r="J369" s="12"/>
      <c r="K369" s="12"/>
      <c r="L369" s="12"/>
      <c r="M369" s="12"/>
      <c r="N369" s="12"/>
      <c r="O369" s="13"/>
    </row>
    <row r="370" spans="1:15" s="1" customFormat="1">
      <c r="A370" s="1">
        <v>6</v>
      </c>
      <c r="C370" s="41">
        <f>IF(C352=6,6,IF(C351=5,1,IF(C350=4,1,IF(C349=3,0,0))))</f>
        <v>1</v>
      </c>
      <c r="D370" s="42" t="str">
        <f>IF(C370&gt;0,VLOOKUP(C370,C347:E352,2,FALSE),"")</f>
        <v>光が丘フェンシング</v>
      </c>
      <c r="E370" s="43" t="str">
        <f>IF(C370&gt;0,VLOOKUP(C370,C347:E352,3,FALSE),"")</f>
        <v>黒澤　塁</v>
      </c>
      <c r="F370" s="5"/>
      <c r="G370" s="6"/>
      <c r="H370" s="6"/>
      <c r="I370" s="6"/>
      <c r="J370" s="6"/>
      <c r="K370" s="6"/>
      <c r="L370" s="6"/>
      <c r="M370" s="6"/>
      <c r="N370" s="6"/>
      <c r="O370" s="7"/>
    </row>
    <row r="371" spans="1:15" s="1" customFormat="1">
      <c r="C371" s="44">
        <f>IF(C352=6,4,IF(C351=5,3,IF(C350=4,2,IF(C349=3,0,0))))</f>
        <v>3</v>
      </c>
      <c r="D371" s="45" t="str">
        <f>IF(C371&gt;0,VLOOKUP(C371,C347:E352,2,FALSE),"")</f>
        <v>速星中学校</v>
      </c>
      <c r="E371" s="46" t="str">
        <f>IF(C371&gt;0,VLOOKUP(C371,C347:E352,3,FALSE),"")</f>
        <v>飯田　龍基</v>
      </c>
      <c r="F371" s="8"/>
      <c r="G371" s="9"/>
      <c r="H371" s="9"/>
      <c r="I371" s="9"/>
      <c r="J371" s="9"/>
      <c r="K371" s="9"/>
      <c r="L371" s="9"/>
      <c r="M371" s="9"/>
      <c r="N371" s="9"/>
      <c r="O371" s="10"/>
    </row>
    <row r="372" spans="1:15" s="11" customFormat="1" ht="10.5">
      <c r="C372" s="49"/>
      <c r="D372" s="50"/>
      <c r="E372" s="51"/>
      <c r="F372" s="12"/>
      <c r="G372" s="12"/>
      <c r="H372" s="12"/>
      <c r="I372" s="12"/>
      <c r="J372" s="12"/>
      <c r="K372" s="12"/>
      <c r="L372" s="12"/>
      <c r="M372" s="12"/>
      <c r="N372" s="12"/>
      <c r="O372" s="13"/>
    </row>
    <row r="373" spans="1:15" s="1" customFormat="1">
      <c r="A373" s="1">
        <v>7</v>
      </c>
      <c r="C373" s="41">
        <f>IF(C352=6,2,IF(C351=5,2,IF(C350=4,0,0)))</f>
        <v>2</v>
      </c>
      <c r="D373" s="42" t="str">
        <f>IF(C373&gt;0,VLOOKUP(C373,C347:E352,2,FALSE),"")</f>
        <v>長野ジュニア</v>
      </c>
      <c r="E373" s="43" t="str">
        <f>IF(C373&gt;0,VLOOKUP(C373,C347:E352,3,FALSE),"")</f>
        <v>杉岡　瑞基</v>
      </c>
      <c r="F373" s="5"/>
      <c r="G373" s="6"/>
      <c r="H373" s="6"/>
      <c r="I373" s="6"/>
      <c r="J373" s="6"/>
      <c r="K373" s="6"/>
      <c r="L373" s="6"/>
      <c r="M373" s="6"/>
      <c r="N373" s="6"/>
      <c r="O373" s="7"/>
    </row>
    <row r="374" spans="1:15" s="1" customFormat="1">
      <c r="C374" s="44">
        <f>IF(C352=6,5,IF(C351=5,5,IF(C350=4,0,0)))</f>
        <v>5</v>
      </c>
      <c r="D374" s="45" t="str">
        <f>IF(C374&gt;0,VLOOKUP(C374,C347:E352,2,FALSE),"")</f>
        <v>はしまモア</v>
      </c>
      <c r="E374" s="46" t="str">
        <f>IF(C374&gt;0,VLOOKUP(C374,C347:E352,3,FALSE),"")</f>
        <v>今井　大河</v>
      </c>
      <c r="F374" s="8"/>
      <c r="G374" s="9"/>
      <c r="H374" s="9"/>
      <c r="I374" s="9"/>
      <c r="J374" s="9"/>
      <c r="K374" s="9"/>
      <c r="L374" s="9"/>
      <c r="M374" s="9"/>
      <c r="N374" s="9"/>
      <c r="O374" s="10"/>
    </row>
    <row r="375" spans="1:15" s="11" customFormat="1" ht="10.5">
      <c r="C375" s="49"/>
      <c r="D375" s="50"/>
      <c r="E375" s="51"/>
      <c r="F375" s="12"/>
      <c r="G375" s="12"/>
      <c r="H375" s="12"/>
      <c r="I375" s="12"/>
      <c r="J375" s="12"/>
      <c r="K375" s="12"/>
      <c r="L375" s="12"/>
      <c r="M375" s="12"/>
      <c r="N375" s="12"/>
      <c r="O375" s="13"/>
    </row>
    <row r="376" spans="1:15" s="1" customFormat="1">
      <c r="A376" s="1">
        <v>8</v>
      </c>
      <c r="C376" s="41">
        <f>IF(C352=6,1,IF(C351=5,4,IF(C350=4,0,0)))</f>
        <v>4</v>
      </c>
      <c r="D376" s="42" t="str">
        <f>IF(C376&gt;0,VLOOKUP(C376,C347:E352,2,FALSE),"")</f>
        <v>婦中ＪＦＣ</v>
      </c>
      <c r="E376" s="43" t="str">
        <f>IF(C376&gt;0,VLOOKUP(C376,C347:E352,3,FALSE),"")</f>
        <v>横山　慶汰</v>
      </c>
      <c r="F376" s="5"/>
      <c r="G376" s="6"/>
      <c r="H376" s="6"/>
      <c r="I376" s="6"/>
      <c r="J376" s="6"/>
      <c r="K376" s="6"/>
      <c r="L376" s="6"/>
      <c r="M376" s="6"/>
      <c r="N376" s="6"/>
      <c r="O376" s="7"/>
    </row>
    <row r="377" spans="1:15" s="1" customFormat="1">
      <c r="C377" s="44">
        <f>IF(C352=6,4,IF(C351=5,1,IF(C350=4,0,0)))</f>
        <v>1</v>
      </c>
      <c r="D377" s="45" t="str">
        <f>IF(C377&gt;0,VLOOKUP(C377,C347:E352,2,FALSE),"")</f>
        <v>光が丘フェンシング</v>
      </c>
      <c r="E377" s="46" t="str">
        <f>IF(C377&gt;0,VLOOKUP(C377,C347:E352,3,FALSE),"")</f>
        <v>黒澤　塁</v>
      </c>
      <c r="F377" s="8"/>
      <c r="G377" s="9"/>
      <c r="H377" s="9"/>
      <c r="I377" s="9"/>
      <c r="J377" s="9"/>
      <c r="K377" s="9"/>
      <c r="L377" s="9"/>
      <c r="M377" s="9"/>
      <c r="N377" s="9"/>
      <c r="O377" s="10"/>
    </row>
    <row r="378" spans="1:15" s="11" customFormat="1" ht="10.5">
      <c r="C378" s="49"/>
      <c r="D378" s="50"/>
      <c r="E378" s="51"/>
      <c r="F378" s="12"/>
      <c r="G378" s="12"/>
      <c r="H378" s="12"/>
      <c r="I378" s="12"/>
      <c r="J378" s="12"/>
      <c r="K378" s="12"/>
      <c r="L378" s="12"/>
      <c r="M378" s="12"/>
      <c r="N378" s="12"/>
      <c r="O378" s="13"/>
    </row>
    <row r="379" spans="1:15" s="1" customFormat="1">
      <c r="A379" s="1">
        <v>9</v>
      </c>
      <c r="C379" s="41">
        <f>IF(C352=6,5,IF(C351=5,3,IF(C350=4,0,0)))</f>
        <v>3</v>
      </c>
      <c r="D379" s="42" t="str">
        <f>IF(C379&gt;0,VLOOKUP(C379,C347:E352,2,FALSE),"")</f>
        <v>速星中学校</v>
      </c>
      <c r="E379" s="43" t="str">
        <f>IF(C379&gt;0,VLOOKUP(C379,C347:E352,3,FALSE),"")</f>
        <v>飯田　龍基</v>
      </c>
      <c r="F379" s="5"/>
      <c r="G379" s="6"/>
      <c r="H379" s="6"/>
      <c r="I379" s="6"/>
      <c r="J379" s="6"/>
      <c r="K379" s="6"/>
      <c r="L379" s="6"/>
      <c r="M379" s="6"/>
      <c r="N379" s="6"/>
      <c r="O379" s="7"/>
    </row>
    <row r="380" spans="1:15" s="1" customFormat="1">
      <c r="C380" s="44">
        <f>IF(C352=6,3,IF(C351=5,5,IF(C350=4,0,0)))</f>
        <v>5</v>
      </c>
      <c r="D380" s="45" t="str">
        <f>IF(C380&gt;0,VLOOKUP(C380,C347:E352,2,FALSE),"")</f>
        <v>はしまモア</v>
      </c>
      <c r="E380" s="46" t="str">
        <f>IF(C380&gt;0,VLOOKUP(C380,C347:E352,3,FALSE),"")</f>
        <v>今井　大河</v>
      </c>
      <c r="F380" s="8"/>
      <c r="G380" s="9"/>
      <c r="H380" s="9"/>
      <c r="I380" s="9"/>
      <c r="J380" s="9"/>
      <c r="K380" s="9"/>
      <c r="L380" s="9"/>
      <c r="M380" s="9"/>
      <c r="N380" s="9"/>
      <c r="O380" s="10"/>
    </row>
    <row r="381" spans="1:15" s="11" customFormat="1" ht="10.5">
      <c r="C381" s="49"/>
      <c r="D381" s="50"/>
      <c r="E381" s="51"/>
      <c r="F381" s="12"/>
      <c r="G381" s="12"/>
      <c r="H381" s="12"/>
      <c r="I381" s="12"/>
      <c r="J381" s="12"/>
      <c r="K381" s="12"/>
      <c r="L381" s="12"/>
      <c r="M381" s="12"/>
      <c r="N381" s="12"/>
      <c r="O381" s="13"/>
    </row>
    <row r="382" spans="1:15" s="1" customFormat="1">
      <c r="A382" s="1">
        <v>10</v>
      </c>
      <c r="C382" s="41">
        <f>IF(C352=6,1,IF(C351=5,4,IF(C350=4,0,0)))</f>
        <v>4</v>
      </c>
      <c r="D382" s="42" t="str">
        <f>IF(C382&gt;0,VLOOKUP(C382,C347:E352,2,FALSE),"")</f>
        <v>婦中ＪＦＣ</v>
      </c>
      <c r="E382" s="43" t="str">
        <f>IF(C382&gt;0,VLOOKUP(C382,C347:E352,3,FALSE),"")</f>
        <v>横山　慶汰</v>
      </c>
      <c r="F382" s="5"/>
      <c r="G382" s="6"/>
      <c r="H382" s="6"/>
      <c r="I382" s="6"/>
      <c r="J382" s="6"/>
      <c r="K382" s="6"/>
      <c r="L382" s="6"/>
      <c r="M382" s="6"/>
      <c r="N382" s="6"/>
      <c r="O382" s="7"/>
    </row>
    <row r="383" spans="1:15" s="1" customFormat="1">
      <c r="C383" s="44">
        <f>IF(C352=6,6,IF(C351=5,2,IF(C350=4,0,0)))</f>
        <v>2</v>
      </c>
      <c r="D383" s="45" t="str">
        <f>IF(C383&gt;0,VLOOKUP(C383,C347:E352,2,FALSE),"")</f>
        <v>長野ジュニア</v>
      </c>
      <c r="E383" s="46" t="str">
        <f>IF(C383&gt;0,VLOOKUP(C383,C347:E352,3,FALSE),"")</f>
        <v>杉岡　瑞基</v>
      </c>
      <c r="F383" s="8"/>
      <c r="G383" s="9"/>
      <c r="H383" s="9"/>
      <c r="I383" s="9"/>
      <c r="J383" s="9"/>
      <c r="K383" s="9"/>
      <c r="L383" s="9"/>
      <c r="M383" s="9"/>
      <c r="N383" s="9"/>
      <c r="O383" s="10"/>
    </row>
    <row r="384" spans="1:15" s="11" customFormat="1" ht="10.5">
      <c r="C384" s="49"/>
      <c r="D384" s="50"/>
      <c r="E384" s="51"/>
      <c r="F384" s="12"/>
      <c r="G384" s="12"/>
      <c r="H384" s="12"/>
      <c r="I384" s="12"/>
      <c r="J384" s="12"/>
      <c r="K384" s="12"/>
      <c r="L384" s="12"/>
      <c r="M384" s="12"/>
      <c r="N384" s="12"/>
      <c r="O384" s="13"/>
    </row>
    <row r="385" spans="1:15" s="1" customFormat="1">
      <c r="A385" s="1">
        <v>11</v>
      </c>
      <c r="C385" s="41">
        <f>IF(C352=6,4,0)</f>
        <v>0</v>
      </c>
      <c r="D385" s="42" t="str">
        <f>IF(C385&gt;0,VLOOKUP(C385,C347:E352,2,FALSE),"")</f>
        <v/>
      </c>
      <c r="E385" s="43" t="str">
        <f>IF(C385&gt;0,VLOOKUP(C385,C347:E352,3,FALSE),"")</f>
        <v/>
      </c>
      <c r="F385" s="5"/>
      <c r="G385" s="6"/>
      <c r="H385" s="6"/>
      <c r="I385" s="6"/>
      <c r="J385" s="6"/>
      <c r="K385" s="6"/>
      <c r="L385" s="6"/>
      <c r="M385" s="6"/>
      <c r="N385" s="6"/>
      <c r="O385" s="7"/>
    </row>
    <row r="386" spans="1:15" s="1" customFormat="1">
      <c r="C386" s="44">
        <f>IF(C352=6,2,0)</f>
        <v>0</v>
      </c>
      <c r="D386" s="45" t="str">
        <f>IF(C386&gt;0,VLOOKUP(C386,C347:E352,2,FALSE),"")</f>
        <v/>
      </c>
      <c r="E386" s="46" t="str">
        <f>IF(C386&gt;0,VLOOKUP(C386,C347:E352,3,FALSE),"")</f>
        <v/>
      </c>
      <c r="F386" s="8"/>
      <c r="G386" s="9"/>
      <c r="H386" s="9"/>
      <c r="I386" s="9"/>
      <c r="J386" s="9"/>
      <c r="K386" s="9"/>
      <c r="L386" s="9"/>
      <c r="M386" s="9"/>
      <c r="N386" s="9"/>
      <c r="O386" s="10"/>
    </row>
    <row r="387" spans="1:15" s="11" customFormat="1" ht="10.5">
      <c r="C387" s="49"/>
      <c r="D387" s="50"/>
      <c r="E387" s="51"/>
      <c r="F387" s="12"/>
      <c r="G387" s="12"/>
      <c r="H387" s="12"/>
      <c r="I387" s="12"/>
      <c r="J387" s="12"/>
      <c r="K387" s="12"/>
      <c r="L387" s="12"/>
      <c r="M387" s="12"/>
      <c r="N387" s="12"/>
      <c r="O387" s="13"/>
    </row>
    <row r="388" spans="1:15" s="1" customFormat="1">
      <c r="A388" s="1">
        <v>12</v>
      </c>
      <c r="C388" s="41">
        <f>IF(C352=6,3,0)</f>
        <v>0</v>
      </c>
      <c r="D388" s="42" t="str">
        <f>IF(C388&gt;0,VLOOKUP(C388,C347:E352,2,FALSE),"")</f>
        <v/>
      </c>
      <c r="E388" s="43" t="str">
        <f>IF(C388&gt;0,VLOOKUP(C388,C347:E352,3,FALSE),"")</f>
        <v/>
      </c>
      <c r="F388" s="5"/>
      <c r="G388" s="6"/>
      <c r="H388" s="6"/>
      <c r="I388" s="6"/>
      <c r="J388" s="6"/>
      <c r="K388" s="6"/>
      <c r="L388" s="6"/>
      <c r="M388" s="6"/>
      <c r="N388" s="6"/>
      <c r="O388" s="7"/>
    </row>
    <row r="389" spans="1:15" s="1" customFormat="1" ht="13.5" customHeight="1">
      <c r="C389" s="44">
        <f>IF(C352=6,6,0)</f>
        <v>0</v>
      </c>
      <c r="D389" s="45" t="str">
        <f>IF(C389&gt;0,VLOOKUP(C389,C347:E352,2,FALSE),"")</f>
        <v/>
      </c>
      <c r="E389" s="46" t="str">
        <f>IF(C389&gt;0,VLOOKUP(C389,C347:E352,3,FALSE),"")</f>
        <v/>
      </c>
      <c r="F389" s="8"/>
      <c r="G389" s="9"/>
      <c r="H389" s="9"/>
      <c r="I389" s="9"/>
      <c r="J389" s="9"/>
      <c r="K389" s="9"/>
      <c r="L389" s="9"/>
      <c r="M389" s="9"/>
      <c r="N389" s="9"/>
      <c r="O389" s="10"/>
    </row>
    <row r="390" spans="1:15" s="11" customFormat="1" ht="10.5">
      <c r="C390" s="49"/>
      <c r="D390" s="50"/>
      <c r="E390" s="51"/>
      <c r="F390" s="12"/>
      <c r="G390" s="12"/>
      <c r="H390" s="12"/>
      <c r="I390" s="12"/>
      <c r="J390" s="12"/>
      <c r="K390" s="12"/>
      <c r="L390" s="12"/>
      <c r="M390" s="12"/>
      <c r="N390" s="12"/>
      <c r="O390" s="13"/>
    </row>
    <row r="391" spans="1:15" s="1" customFormat="1">
      <c r="A391" s="1">
        <v>13</v>
      </c>
      <c r="C391" s="41">
        <f>IF(C352=6,5,0)</f>
        <v>0</v>
      </c>
      <c r="D391" s="42" t="str">
        <f>IF(C391&gt;0,VLOOKUP(C391,C347:E352,2,FALSE),"")</f>
        <v/>
      </c>
      <c r="E391" s="43" t="str">
        <f>IF(C391&gt;0,VLOOKUP(C391,C347:E352,3,FALSE),"")</f>
        <v/>
      </c>
      <c r="F391" s="5"/>
      <c r="G391" s="6"/>
      <c r="H391" s="6"/>
      <c r="I391" s="6"/>
      <c r="J391" s="6"/>
      <c r="K391" s="6"/>
      <c r="L391" s="6"/>
      <c r="M391" s="6"/>
      <c r="N391" s="6"/>
      <c r="O391" s="7"/>
    </row>
    <row r="392" spans="1:15" s="1" customFormat="1">
      <c r="C392" s="44">
        <f>IF(C352=6,1,0)</f>
        <v>0</v>
      </c>
      <c r="D392" s="45" t="str">
        <f>IF(C392&gt;0,VLOOKUP(C392,C347:E352,2,FALSE),"")</f>
        <v/>
      </c>
      <c r="E392" s="46" t="str">
        <f>IF(C392&gt;0,VLOOKUP(C392,C347:E352,3,FALSE),"")</f>
        <v/>
      </c>
      <c r="F392" s="8"/>
      <c r="G392" s="9"/>
      <c r="H392" s="9"/>
      <c r="I392" s="9"/>
      <c r="J392" s="9"/>
      <c r="K392" s="9"/>
      <c r="L392" s="9"/>
      <c r="M392" s="9"/>
      <c r="N392" s="9"/>
      <c r="O392" s="10"/>
    </row>
    <row r="393" spans="1:15" s="11" customFormat="1" ht="10.5">
      <c r="C393" s="49"/>
      <c r="D393" s="50"/>
      <c r="E393" s="51"/>
      <c r="F393" s="12"/>
      <c r="G393" s="12"/>
      <c r="H393" s="12"/>
      <c r="I393" s="12"/>
      <c r="J393" s="12"/>
      <c r="K393" s="12"/>
      <c r="L393" s="12"/>
      <c r="M393" s="12"/>
      <c r="N393" s="12"/>
      <c r="O393" s="13"/>
    </row>
    <row r="394" spans="1:15" s="1" customFormat="1">
      <c r="A394" s="1">
        <v>14</v>
      </c>
      <c r="C394" s="41">
        <f>IF(C352=6,3,0)</f>
        <v>0</v>
      </c>
      <c r="D394" s="42" t="str">
        <f>IF(C394&gt;0,VLOOKUP(C394,C347:E352,2,FALSE),"")</f>
        <v/>
      </c>
      <c r="E394" s="43" t="str">
        <f>IF(C394&gt;0,VLOOKUP(C394,C347:E352,3,FALSE),"")</f>
        <v/>
      </c>
      <c r="F394" s="5"/>
      <c r="G394" s="6"/>
      <c r="H394" s="6"/>
      <c r="I394" s="6"/>
      <c r="J394" s="6"/>
      <c r="K394" s="6"/>
      <c r="L394" s="6"/>
      <c r="M394" s="6"/>
      <c r="N394" s="6"/>
      <c r="O394" s="7"/>
    </row>
    <row r="395" spans="1:15" s="1" customFormat="1">
      <c r="C395" s="44">
        <f>IF(C352=6,4,0)</f>
        <v>0</v>
      </c>
      <c r="D395" s="45" t="str">
        <f>IF(C395&gt;0,VLOOKUP(C395,C347:E352,2,FALSE),"")</f>
        <v/>
      </c>
      <c r="E395" s="46" t="str">
        <f>IF(C395&gt;0,VLOOKUP(C395,C347:E352,3,FALSE),"")</f>
        <v/>
      </c>
      <c r="F395" s="8"/>
      <c r="G395" s="9"/>
      <c r="H395" s="9"/>
      <c r="I395" s="9"/>
      <c r="J395" s="9"/>
      <c r="K395" s="9"/>
      <c r="L395" s="9"/>
      <c r="M395" s="9"/>
      <c r="N395" s="9"/>
      <c r="O395" s="10"/>
    </row>
    <row r="396" spans="1:15" s="11" customFormat="1" ht="10.5">
      <c r="C396" s="49"/>
      <c r="D396" s="50"/>
      <c r="E396" s="51"/>
      <c r="F396" s="12"/>
      <c r="G396" s="12"/>
      <c r="H396" s="12"/>
      <c r="I396" s="12"/>
      <c r="J396" s="12"/>
      <c r="K396" s="12"/>
      <c r="L396" s="12"/>
      <c r="M396" s="12"/>
      <c r="N396" s="12"/>
      <c r="O396" s="13"/>
    </row>
    <row r="397" spans="1:15" s="1" customFormat="1">
      <c r="A397" s="1">
        <v>15</v>
      </c>
      <c r="C397" s="41">
        <f>IF(C352=6,6,0)</f>
        <v>0</v>
      </c>
      <c r="D397" s="42" t="str">
        <f>IF(C397&gt;0,VLOOKUP(C397,C347:E352,2,FALSE),"")</f>
        <v/>
      </c>
      <c r="E397" s="43" t="str">
        <f>IF(C397&gt;0,VLOOKUP(C397,C347:E352,3,FALSE),"")</f>
        <v/>
      </c>
      <c r="F397" s="5"/>
      <c r="G397" s="6"/>
      <c r="H397" s="6"/>
      <c r="I397" s="6"/>
      <c r="J397" s="6"/>
      <c r="K397" s="6"/>
      <c r="L397" s="6"/>
      <c r="M397" s="6"/>
      <c r="N397" s="6"/>
      <c r="O397" s="7"/>
    </row>
    <row r="398" spans="1:15" s="1" customFormat="1">
      <c r="C398" s="44">
        <f>IF(C352=6,2,0)</f>
        <v>0</v>
      </c>
      <c r="D398" s="45" t="str">
        <f>IF(C398&gt;0,VLOOKUP(C398,C347:E352,2,FALSE),"")</f>
        <v/>
      </c>
      <c r="E398" s="46" t="str">
        <f>IF(C398&gt;0,VLOOKUP(C398,C347:E352,3,FALSE),"")</f>
        <v/>
      </c>
      <c r="F398" s="8"/>
      <c r="G398" s="9"/>
      <c r="H398" s="9"/>
      <c r="I398" s="9"/>
      <c r="J398" s="9"/>
      <c r="K398" s="9"/>
      <c r="L398" s="9"/>
      <c r="M398" s="9"/>
      <c r="N398" s="9"/>
      <c r="O398" s="10"/>
    </row>
    <row r="399" spans="1:15" s="104" customFormat="1" ht="10.5">
      <c r="C399" s="107"/>
      <c r="D399" s="52"/>
      <c r="E399" s="53"/>
      <c r="F399" s="108"/>
      <c r="G399" s="108"/>
      <c r="H399" s="108"/>
      <c r="I399" s="108"/>
      <c r="J399" s="108"/>
      <c r="K399" s="108"/>
      <c r="L399" s="108"/>
      <c r="M399" s="108"/>
      <c r="N399" s="108"/>
      <c r="O399" s="109"/>
    </row>
    <row r="400" spans="1:15" s="57" customFormat="1" ht="17.25">
      <c r="A400" s="321" t="str">
        <f>名簿!$A$1</f>
        <v>第9回川本杯はしまモアフェンシング大会</v>
      </c>
      <c r="B400" s="321"/>
      <c r="C400" s="321"/>
      <c r="D400" s="321"/>
      <c r="E400" s="321"/>
      <c r="F400" s="321"/>
      <c r="G400" s="321"/>
      <c r="H400" s="321"/>
      <c r="I400" s="321"/>
      <c r="J400" s="321"/>
      <c r="K400" s="268" t="s">
        <v>72</v>
      </c>
      <c r="L400" s="322" t="s">
        <v>73</v>
      </c>
      <c r="M400" s="322"/>
      <c r="N400" s="322"/>
      <c r="O400" s="323"/>
    </row>
    <row r="401" spans="1:16" s="58" customFormat="1" ht="14.25">
      <c r="A401" s="318" t="str">
        <f>"　"&amp;名簿!$A$2</f>
        <v>　中学男子</v>
      </c>
      <c r="B401" s="318"/>
      <c r="C401" s="318"/>
      <c r="D401" s="318"/>
      <c r="E401" s="318"/>
      <c r="F401" s="318"/>
      <c r="G401" s="318"/>
      <c r="H401" s="318"/>
      <c r="I401" s="318"/>
      <c r="J401" s="318"/>
      <c r="K401" s="269"/>
      <c r="L401" s="319" t="s">
        <v>74</v>
      </c>
      <c r="M401" s="319"/>
      <c r="N401" s="319"/>
      <c r="O401" s="320"/>
    </row>
    <row r="402" spans="1:16" s="58" customFormat="1" ht="14.25">
      <c r="A402" s="314" t="str">
        <f>"　　"&amp;名簿!$A$3</f>
        <v>　　1回戦</v>
      </c>
      <c r="B402" s="314"/>
      <c r="C402" s="314"/>
      <c r="D402" s="314"/>
      <c r="E402" s="314"/>
      <c r="K402" s="315">
        <f>名簿!$E$3</f>
        <v>43184</v>
      </c>
      <c r="L402" s="315"/>
      <c r="M402" s="315"/>
      <c r="N402" s="315"/>
      <c r="O402" s="315"/>
    </row>
    <row r="403" spans="1:16">
      <c r="A403" s="59" t="s">
        <v>57</v>
      </c>
      <c r="B403" s="60" t="s">
        <v>13</v>
      </c>
      <c r="C403" s="61" t="s">
        <v>0</v>
      </c>
      <c r="D403" s="62" t="s">
        <v>7</v>
      </c>
      <c r="E403" s="63" t="s">
        <v>8</v>
      </c>
      <c r="F403" s="64">
        <v>1</v>
      </c>
      <c r="G403" s="65">
        <v>2</v>
      </c>
      <c r="H403" s="65">
        <v>3</v>
      </c>
      <c r="I403" s="65">
        <v>4</v>
      </c>
      <c r="J403" s="65">
        <v>5</v>
      </c>
      <c r="K403" s="66">
        <v>6</v>
      </c>
      <c r="L403" s="67" t="s">
        <v>58</v>
      </c>
      <c r="M403" s="68" t="s">
        <v>59</v>
      </c>
      <c r="N403" s="316" t="s">
        <v>6</v>
      </c>
      <c r="O403" s="317"/>
      <c r="P403" s="69"/>
    </row>
    <row r="404" spans="1:16" ht="18" customHeight="1">
      <c r="A404" s="71">
        <f>'予選 Ｐ'!A47</f>
        <v>8</v>
      </c>
      <c r="B404" s="72">
        <f>'予選 Ｐ'!B47</f>
        <v>8</v>
      </c>
      <c r="C404" s="73">
        <f>'予選 Ｐ'!C47</f>
        <v>1</v>
      </c>
      <c r="D404" s="34" t="str">
        <f>'予選 Ｐ'!E47</f>
        <v>ワセダクラブ</v>
      </c>
      <c r="E404" s="35" t="str">
        <f>'予選 Ｐ'!F47</f>
        <v>鈴木　統吾</v>
      </c>
      <c r="F404" s="74"/>
      <c r="G404" s="75"/>
      <c r="H404" s="75"/>
      <c r="I404" s="75"/>
      <c r="J404" s="75"/>
      <c r="K404" s="76"/>
      <c r="L404" s="77"/>
      <c r="M404" s="78"/>
      <c r="N404" s="79"/>
      <c r="O404" s="80"/>
      <c r="P404" s="81"/>
    </row>
    <row r="405" spans="1:16" ht="18" customHeight="1">
      <c r="A405" s="82">
        <f>'予選 Ｐ'!A48</f>
        <v>8</v>
      </c>
      <c r="B405" s="83">
        <f>'予選 Ｐ'!B48</f>
        <v>11</v>
      </c>
      <c r="C405" s="84">
        <f>'予選 Ｐ'!C48</f>
        <v>2</v>
      </c>
      <c r="D405" s="36" t="str">
        <f>'予選 Ｐ'!E48</f>
        <v>長野ジュニア</v>
      </c>
      <c r="E405" s="35" t="str">
        <f>'予選 Ｐ'!F48</f>
        <v>登内　雄心</v>
      </c>
      <c r="F405" s="85"/>
      <c r="G405" s="86"/>
      <c r="H405" s="87"/>
      <c r="I405" s="87"/>
      <c r="J405" s="87"/>
      <c r="K405" s="88"/>
      <c r="L405" s="89"/>
      <c r="M405" s="90"/>
      <c r="N405" s="91"/>
      <c r="O405" s="92"/>
      <c r="P405" s="81"/>
    </row>
    <row r="406" spans="1:16" ht="18" customHeight="1">
      <c r="A406" s="82">
        <f>'予選 Ｐ'!A49</f>
        <v>8</v>
      </c>
      <c r="B406" s="83">
        <f>'予選 Ｐ'!B49</f>
        <v>26</v>
      </c>
      <c r="C406" s="84">
        <f>'予選 Ｐ'!C49</f>
        <v>3</v>
      </c>
      <c r="D406" s="36" t="str">
        <f>'予選 Ｐ'!E49</f>
        <v>SEIBUスポーツ</v>
      </c>
      <c r="E406" s="35" t="str">
        <f>'予選 Ｐ'!F49</f>
        <v>大原　士侑</v>
      </c>
      <c r="F406" s="85"/>
      <c r="G406" s="87"/>
      <c r="H406" s="86"/>
      <c r="I406" s="87"/>
      <c r="J406" s="87"/>
      <c r="K406" s="88"/>
      <c r="L406" s="89"/>
      <c r="M406" s="90"/>
      <c r="N406" s="91"/>
      <c r="O406" s="92"/>
      <c r="P406" s="81"/>
    </row>
    <row r="407" spans="1:16" ht="18" customHeight="1">
      <c r="A407" s="82">
        <f>'予選 Ｐ'!A50</f>
        <v>8</v>
      </c>
      <c r="B407" s="83">
        <f>IF('予選 Ｐ'!B50="","",'予選 Ｐ'!B50)</f>
        <v>29</v>
      </c>
      <c r="C407" s="84">
        <f>'予選 Ｐ'!C50</f>
        <v>4</v>
      </c>
      <c r="D407" s="36" t="str">
        <f>'予選 Ｐ'!E50</f>
        <v>箕輪中学校</v>
      </c>
      <c r="E407" s="35" t="str">
        <f>'予選 Ｐ'!F50</f>
        <v>中村　駿太</v>
      </c>
      <c r="F407" s="85"/>
      <c r="G407" s="87"/>
      <c r="H407" s="87"/>
      <c r="I407" s="86"/>
      <c r="J407" s="87"/>
      <c r="K407" s="88"/>
      <c r="L407" s="89"/>
      <c r="M407" s="90"/>
      <c r="N407" s="91"/>
      <c r="O407" s="92"/>
      <c r="P407" s="81"/>
    </row>
    <row r="408" spans="1:16" ht="18" customHeight="1">
      <c r="A408" s="82">
        <f>'予選 Ｐ'!A51</f>
        <v>8</v>
      </c>
      <c r="B408" s="83">
        <f>IF('予選 Ｐ'!B51="","",'予選 Ｐ'!B51)</f>
        <v>50</v>
      </c>
      <c r="C408" s="84">
        <f>'予選 Ｐ'!C51</f>
        <v>5</v>
      </c>
      <c r="D408" s="36" t="str">
        <f>'予選 Ｐ'!E51</f>
        <v>はしまモア</v>
      </c>
      <c r="E408" s="35" t="str">
        <f>'予選 Ｐ'!F51</f>
        <v>木曽　瑞己</v>
      </c>
      <c r="F408" s="85"/>
      <c r="G408" s="87"/>
      <c r="H408" s="87"/>
      <c r="I408" s="87"/>
      <c r="J408" s="86"/>
      <c r="K408" s="88"/>
      <c r="L408" s="89"/>
      <c r="M408" s="90"/>
      <c r="N408" s="91"/>
      <c r="O408" s="92"/>
      <c r="P408" s="81"/>
    </row>
    <row r="409" spans="1:16" ht="18" customHeight="1">
      <c r="A409" s="93" t="str">
        <f>'予選 Ｐ'!A52</f>
        <v/>
      </c>
      <c r="B409" s="94" t="str">
        <f>IF('予選 Ｐ'!B52="","",'予選 Ｐ'!B52)</f>
        <v/>
      </c>
      <c r="C409" s="95" t="str">
        <f>'予選 Ｐ'!C52</f>
        <v/>
      </c>
      <c r="D409" s="37" t="str">
        <f>'予選 Ｐ'!E52</f>
        <v/>
      </c>
      <c r="E409" s="96" t="str">
        <f>'予選 Ｐ'!F52</f>
        <v/>
      </c>
      <c r="F409" s="97"/>
      <c r="G409" s="98"/>
      <c r="H409" s="98"/>
      <c r="I409" s="98"/>
      <c r="J409" s="98"/>
      <c r="K409" s="99"/>
      <c r="L409" s="100"/>
      <c r="M409" s="101"/>
      <c r="N409" s="102"/>
      <c r="O409" s="103"/>
      <c r="P409" s="81"/>
    </row>
    <row r="410" spans="1:16" s="104" customFormat="1" ht="10.5">
      <c r="D410" s="105"/>
      <c r="E410" s="106"/>
    </row>
    <row r="411" spans="1:16" s="1" customFormat="1">
      <c r="C411" s="38" t="s">
        <v>37</v>
      </c>
      <c r="D411" s="39" t="s">
        <v>16</v>
      </c>
      <c r="E411" s="40" t="s">
        <v>8</v>
      </c>
      <c r="F411" s="2">
        <v>1</v>
      </c>
      <c r="G411" s="3">
        <v>2</v>
      </c>
      <c r="H411" s="3">
        <v>3</v>
      </c>
      <c r="I411" s="3">
        <v>4</v>
      </c>
      <c r="J411" s="3">
        <v>5</v>
      </c>
      <c r="K411" s="3">
        <v>6</v>
      </c>
      <c r="L411" s="3">
        <v>7</v>
      </c>
      <c r="M411" s="3">
        <v>8</v>
      </c>
      <c r="N411" s="3">
        <v>9</v>
      </c>
      <c r="O411" s="4" t="s">
        <v>5</v>
      </c>
    </row>
    <row r="412" spans="1:16" s="1" customFormat="1">
      <c r="A412" s="1">
        <v>1</v>
      </c>
      <c r="C412" s="41">
        <v>1</v>
      </c>
      <c r="D412" s="42" t="str">
        <f>IF(C412&gt;0,VLOOKUP(C412,C404:E409,2,FALSE),"")</f>
        <v>ワセダクラブ</v>
      </c>
      <c r="E412" s="43" t="str">
        <f>IF(C412&gt;0,VLOOKUP(C412,C404:E409,3,FALSE),"")</f>
        <v>鈴木　統吾</v>
      </c>
      <c r="F412" s="5"/>
      <c r="G412" s="6"/>
      <c r="H412" s="6"/>
      <c r="I412" s="6"/>
      <c r="J412" s="6"/>
      <c r="K412" s="6"/>
      <c r="L412" s="6"/>
      <c r="M412" s="6"/>
      <c r="N412" s="6"/>
      <c r="O412" s="7"/>
    </row>
    <row r="413" spans="1:16" s="1" customFormat="1">
      <c r="C413" s="44">
        <f>IF(C409=6,2,IF(C408=5,2,IF(C407=4,4,IF(C406=3,3))))</f>
        <v>2</v>
      </c>
      <c r="D413" s="45" t="str">
        <f>IF(C413&gt;0,VLOOKUP(C413,C404:E409,2,FALSE),"")</f>
        <v>長野ジュニア</v>
      </c>
      <c r="E413" s="46" t="str">
        <f>IF(C413&gt;0,VLOOKUP(C413,C404:E409,3,FALSE),"")</f>
        <v>登内　雄心</v>
      </c>
      <c r="F413" s="8"/>
      <c r="G413" s="9"/>
      <c r="H413" s="9"/>
      <c r="I413" s="9"/>
      <c r="J413" s="9"/>
      <c r="K413" s="9"/>
      <c r="L413" s="9"/>
      <c r="M413" s="9"/>
      <c r="N413" s="9"/>
      <c r="O413" s="10"/>
    </row>
    <row r="414" spans="1:16" s="11" customFormat="1" ht="10.5">
      <c r="D414" s="47"/>
      <c r="E414" s="48"/>
    </row>
    <row r="415" spans="1:16" s="1" customFormat="1">
      <c r="A415" s="1">
        <v>2</v>
      </c>
      <c r="C415" s="41">
        <f>IF(C409=6,4,IF(C408=5,3,IF(C407=4,2,IF(C406=3,2))))</f>
        <v>3</v>
      </c>
      <c r="D415" s="42" t="str">
        <f>IF(C415&gt;0,VLOOKUP(C415,C404:E409,2,FALSE),"")</f>
        <v>SEIBUスポーツ</v>
      </c>
      <c r="E415" s="43" t="str">
        <f>IF(C415&gt;0,VLOOKUP(C415,C404:E409,3,FALSE),"")</f>
        <v>大原　士侑</v>
      </c>
      <c r="F415" s="5"/>
      <c r="G415" s="6"/>
      <c r="H415" s="6"/>
      <c r="I415" s="6"/>
      <c r="J415" s="6"/>
      <c r="K415" s="6"/>
      <c r="L415" s="6"/>
      <c r="M415" s="6"/>
      <c r="N415" s="6"/>
      <c r="O415" s="7"/>
    </row>
    <row r="416" spans="1:16" s="1" customFormat="1">
      <c r="C416" s="44">
        <f>IF(C409=6,5,IF(C408=5,4,IF(C407=4,3,IF(C406=3,3))))</f>
        <v>4</v>
      </c>
      <c r="D416" s="45" t="str">
        <f>IF(C416&gt;0,VLOOKUP(C416,C404:E409,2,FALSE),"")</f>
        <v>箕輪中学校</v>
      </c>
      <c r="E416" s="46" t="str">
        <f>IF(C416&gt;0,VLOOKUP(C416,C404:E409,3,FALSE),"")</f>
        <v>中村　駿太</v>
      </c>
      <c r="F416" s="8"/>
      <c r="G416" s="9"/>
      <c r="H416" s="9"/>
      <c r="I416" s="9"/>
      <c r="J416" s="9"/>
      <c r="K416" s="9"/>
      <c r="L416" s="9"/>
      <c r="M416" s="9"/>
      <c r="N416" s="9"/>
      <c r="O416" s="10"/>
    </row>
    <row r="417" spans="1:15" s="11" customFormat="1" ht="10.5">
      <c r="D417" s="47"/>
      <c r="E417" s="48"/>
    </row>
    <row r="418" spans="1:15" s="1" customFormat="1">
      <c r="A418" s="1">
        <v>3</v>
      </c>
      <c r="C418" s="41">
        <f>IF(C409=6,2,IF(C408=5,5,IF(C407=4,1,IF(C406=3,1))))</f>
        <v>5</v>
      </c>
      <c r="D418" s="42" t="str">
        <f>IF(C418&gt;0,VLOOKUP(C418,C404:E409,2,FALSE),"")</f>
        <v>はしまモア</v>
      </c>
      <c r="E418" s="43" t="str">
        <f>IF(C418&gt;0,VLOOKUP(C418,C404:E409,3,FALSE),"")</f>
        <v>木曽　瑞己</v>
      </c>
      <c r="F418" s="5"/>
      <c r="G418" s="6"/>
      <c r="H418" s="6"/>
      <c r="I418" s="6"/>
      <c r="J418" s="6"/>
      <c r="K418" s="6"/>
      <c r="L418" s="6"/>
      <c r="M418" s="6"/>
      <c r="N418" s="6"/>
      <c r="O418" s="7"/>
    </row>
    <row r="419" spans="1:15" s="1" customFormat="1">
      <c r="C419" s="44">
        <f>IF(C409=6,3,IF(C408=5,1,IF(C407=4,3,IF(C406=3,2))))</f>
        <v>1</v>
      </c>
      <c r="D419" s="45" t="str">
        <f>IF(C419&gt;0,VLOOKUP(C419,C404:E409,2,FALSE),"")</f>
        <v>ワセダクラブ</v>
      </c>
      <c r="E419" s="46" t="str">
        <f>IF(C419&gt;0,VLOOKUP(C419,C404:E409,3,FALSE),"")</f>
        <v>鈴木　統吾</v>
      </c>
      <c r="F419" s="8"/>
      <c r="G419" s="9"/>
      <c r="H419" s="9"/>
      <c r="I419" s="9"/>
      <c r="J419" s="9"/>
      <c r="K419" s="9"/>
      <c r="L419" s="9"/>
      <c r="M419" s="9"/>
      <c r="N419" s="9"/>
      <c r="O419" s="10"/>
    </row>
    <row r="420" spans="1:15" s="11" customFormat="1" ht="10.5">
      <c r="C420" s="49"/>
      <c r="D420" s="50"/>
      <c r="E420" s="51"/>
      <c r="F420" s="12"/>
      <c r="G420" s="12"/>
      <c r="H420" s="12"/>
      <c r="I420" s="12"/>
      <c r="J420" s="12"/>
      <c r="K420" s="12"/>
      <c r="L420" s="12"/>
      <c r="M420" s="12"/>
      <c r="N420" s="12"/>
      <c r="O420" s="13"/>
    </row>
    <row r="421" spans="1:15" s="1" customFormat="1">
      <c r="A421" s="1">
        <v>4</v>
      </c>
      <c r="C421" s="41">
        <f>IF(C409=6,5,IF(C408=5,2,IF(C407=4,2,IF(C406=3,0,0))))</f>
        <v>2</v>
      </c>
      <c r="D421" s="42" t="str">
        <f>IF(C421&gt;0,VLOOKUP(C421,C404:E409,2,FALSE),"")</f>
        <v>長野ジュニア</v>
      </c>
      <c r="E421" s="43" t="str">
        <f>IF(C421&gt;0,VLOOKUP(C421,C404:E409,3,FALSE),"")</f>
        <v>登内　雄心</v>
      </c>
      <c r="F421" s="5"/>
      <c r="G421" s="6"/>
      <c r="H421" s="6"/>
      <c r="I421" s="6"/>
      <c r="J421" s="6"/>
      <c r="K421" s="6"/>
      <c r="L421" s="6"/>
      <c r="M421" s="6"/>
      <c r="N421" s="6"/>
      <c r="O421" s="7"/>
    </row>
    <row r="422" spans="1:15" s="1" customFormat="1">
      <c r="C422" s="44">
        <f>IF(C409=6,6,IF(C408=5,3,IF(C407=4,4,IF(C406=3,0,0))))</f>
        <v>3</v>
      </c>
      <c r="D422" s="45" t="str">
        <f>IF(C422&gt;0,VLOOKUP(C422,C404:E409,2,FALSE),"")</f>
        <v>SEIBUスポーツ</v>
      </c>
      <c r="E422" s="46" t="str">
        <f>IF(C422&gt;0,VLOOKUP(C422,C404:E409,3,FALSE),"")</f>
        <v>大原　士侑</v>
      </c>
      <c r="F422" s="8"/>
      <c r="G422" s="9"/>
      <c r="H422" s="9"/>
      <c r="I422" s="9"/>
      <c r="J422" s="9"/>
      <c r="K422" s="9"/>
      <c r="L422" s="9"/>
      <c r="M422" s="9"/>
      <c r="N422" s="9"/>
      <c r="O422" s="10"/>
    </row>
    <row r="423" spans="1:15" s="11" customFormat="1" ht="10.5">
      <c r="C423" s="49"/>
      <c r="D423" s="50"/>
      <c r="E423" s="51"/>
      <c r="F423" s="12"/>
      <c r="G423" s="12"/>
      <c r="H423" s="12"/>
      <c r="I423" s="12"/>
      <c r="J423" s="12"/>
      <c r="K423" s="12"/>
      <c r="L423" s="12"/>
      <c r="M423" s="12"/>
      <c r="N423" s="12"/>
      <c r="O423" s="13"/>
    </row>
    <row r="424" spans="1:15" s="1" customFormat="1">
      <c r="A424" s="1">
        <v>5</v>
      </c>
      <c r="C424" s="41">
        <f>IF(C409=6,3,IF(C408=5,5,IF(C407=4,3,IF(C406=3,0,0))))</f>
        <v>5</v>
      </c>
      <c r="D424" s="42" t="str">
        <f>IF(C424&gt;0,VLOOKUP(C424,C404:E409,2,FALSE),"")</f>
        <v>はしまモア</v>
      </c>
      <c r="E424" s="43" t="str">
        <f>IF(C424&gt;0,VLOOKUP(C424,C404:E409,3,FALSE),"")</f>
        <v>木曽　瑞己</v>
      </c>
      <c r="F424" s="5"/>
      <c r="G424" s="6"/>
      <c r="H424" s="6"/>
      <c r="I424" s="6"/>
      <c r="J424" s="6"/>
      <c r="K424" s="6"/>
      <c r="L424" s="6"/>
      <c r="M424" s="6"/>
      <c r="N424" s="6"/>
      <c r="O424" s="7"/>
    </row>
    <row r="425" spans="1:15" s="1" customFormat="1">
      <c r="C425" s="44">
        <f>IF(C409=6,1,IF(C408=5,4,IF(C407=4,4,IF(C406=3,0,0))))</f>
        <v>4</v>
      </c>
      <c r="D425" s="45" t="str">
        <f>IF(C425&gt;0,VLOOKUP(C425,C404:E409,2,FALSE),"")</f>
        <v>箕輪中学校</v>
      </c>
      <c r="E425" s="46" t="str">
        <f>IF(C425&gt;0,VLOOKUP(C425,C404:E409,3,FALSE),"")</f>
        <v>中村　駿太</v>
      </c>
      <c r="F425" s="8"/>
      <c r="G425" s="9"/>
      <c r="H425" s="9"/>
      <c r="I425" s="9"/>
      <c r="J425" s="9"/>
      <c r="K425" s="9"/>
      <c r="L425" s="9"/>
      <c r="M425" s="9"/>
      <c r="N425" s="9"/>
      <c r="O425" s="10"/>
    </row>
    <row r="426" spans="1:15" s="11" customFormat="1" ht="10.5">
      <c r="C426" s="49"/>
      <c r="D426" s="50"/>
      <c r="E426" s="51"/>
      <c r="F426" s="12"/>
      <c r="G426" s="12"/>
      <c r="H426" s="12"/>
      <c r="I426" s="12"/>
      <c r="J426" s="12"/>
      <c r="K426" s="12"/>
      <c r="L426" s="12"/>
      <c r="M426" s="12"/>
      <c r="N426" s="12"/>
      <c r="O426" s="13"/>
    </row>
    <row r="427" spans="1:15" s="1" customFormat="1">
      <c r="A427" s="1">
        <v>6</v>
      </c>
      <c r="C427" s="41">
        <f>IF(C409=6,6,IF(C408=5,1,IF(C407=4,1,IF(C406=3,0,0))))</f>
        <v>1</v>
      </c>
      <c r="D427" s="42" t="str">
        <f>IF(C427&gt;0,VLOOKUP(C427,C404:E409,2,FALSE),"")</f>
        <v>ワセダクラブ</v>
      </c>
      <c r="E427" s="43" t="str">
        <f>IF(C427&gt;0,VLOOKUP(C427,C404:E409,3,FALSE),"")</f>
        <v>鈴木　統吾</v>
      </c>
      <c r="F427" s="5"/>
      <c r="G427" s="6"/>
      <c r="H427" s="6"/>
      <c r="I427" s="6"/>
      <c r="J427" s="6"/>
      <c r="K427" s="6"/>
      <c r="L427" s="6"/>
      <c r="M427" s="6"/>
      <c r="N427" s="6"/>
      <c r="O427" s="7"/>
    </row>
    <row r="428" spans="1:15" s="1" customFormat="1">
      <c r="C428" s="44">
        <f>IF(C409=6,4,IF(C408=5,3,IF(C407=4,2,IF(C406=3,0,0))))</f>
        <v>3</v>
      </c>
      <c r="D428" s="45" t="str">
        <f>IF(C428&gt;0,VLOOKUP(C428,C404:E409,2,FALSE),"")</f>
        <v>SEIBUスポーツ</v>
      </c>
      <c r="E428" s="46" t="str">
        <f>IF(C428&gt;0,VLOOKUP(C428,C404:E409,3,FALSE),"")</f>
        <v>大原　士侑</v>
      </c>
      <c r="F428" s="8"/>
      <c r="G428" s="9"/>
      <c r="H428" s="9"/>
      <c r="I428" s="9"/>
      <c r="J428" s="9"/>
      <c r="K428" s="9"/>
      <c r="L428" s="9"/>
      <c r="M428" s="9"/>
      <c r="N428" s="9"/>
      <c r="O428" s="10"/>
    </row>
    <row r="429" spans="1:15" s="11" customFormat="1" ht="10.5">
      <c r="C429" s="49"/>
      <c r="D429" s="50"/>
      <c r="E429" s="51"/>
      <c r="F429" s="12"/>
      <c r="G429" s="12"/>
      <c r="H429" s="12"/>
      <c r="I429" s="12"/>
      <c r="J429" s="12"/>
      <c r="K429" s="12"/>
      <c r="L429" s="12"/>
      <c r="M429" s="12"/>
      <c r="N429" s="12"/>
      <c r="O429" s="13"/>
    </row>
    <row r="430" spans="1:15" s="1" customFormat="1">
      <c r="A430" s="1">
        <v>7</v>
      </c>
      <c r="C430" s="41">
        <f>IF(C409=6,2,IF(C408=5,2,IF(C407=4,0,0)))</f>
        <v>2</v>
      </c>
      <c r="D430" s="42" t="str">
        <f>IF(C430&gt;0,VLOOKUP(C430,C404:E409,2,FALSE),"")</f>
        <v>長野ジュニア</v>
      </c>
      <c r="E430" s="43" t="str">
        <f>IF(C430&gt;0,VLOOKUP(C430,C404:E409,3,FALSE),"")</f>
        <v>登内　雄心</v>
      </c>
      <c r="F430" s="5"/>
      <c r="G430" s="6"/>
      <c r="H430" s="6"/>
      <c r="I430" s="6"/>
      <c r="J430" s="6"/>
      <c r="K430" s="6"/>
      <c r="L430" s="6"/>
      <c r="M430" s="6"/>
      <c r="N430" s="6"/>
      <c r="O430" s="7"/>
    </row>
    <row r="431" spans="1:15" s="1" customFormat="1">
      <c r="C431" s="44">
        <f>IF(C409=6,5,IF(C408=5,5,IF(C407=4,0,0)))</f>
        <v>5</v>
      </c>
      <c r="D431" s="45" t="str">
        <f>IF(C431&gt;0,VLOOKUP(C431,C404:E409,2,FALSE),"")</f>
        <v>はしまモア</v>
      </c>
      <c r="E431" s="46" t="str">
        <f>IF(C431&gt;0,VLOOKUP(C431,C404:E409,3,FALSE),"")</f>
        <v>木曽　瑞己</v>
      </c>
      <c r="F431" s="8"/>
      <c r="G431" s="9"/>
      <c r="H431" s="9"/>
      <c r="I431" s="9"/>
      <c r="J431" s="9"/>
      <c r="K431" s="9"/>
      <c r="L431" s="9"/>
      <c r="M431" s="9"/>
      <c r="N431" s="9"/>
      <c r="O431" s="10"/>
    </row>
    <row r="432" spans="1:15" s="11" customFormat="1" ht="10.5">
      <c r="C432" s="49"/>
      <c r="D432" s="50"/>
      <c r="E432" s="51"/>
      <c r="F432" s="12"/>
      <c r="G432" s="12"/>
      <c r="H432" s="12"/>
      <c r="I432" s="12"/>
      <c r="J432" s="12"/>
      <c r="K432" s="12"/>
      <c r="L432" s="12"/>
      <c r="M432" s="12"/>
      <c r="N432" s="12"/>
      <c r="O432" s="13"/>
    </row>
    <row r="433" spans="1:15" s="1" customFormat="1">
      <c r="A433" s="1">
        <v>8</v>
      </c>
      <c r="C433" s="41">
        <f>IF(C409=6,1,IF(C408=5,4,IF(C407=4,0,0)))</f>
        <v>4</v>
      </c>
      <c r="D433" s="42" t="str">
        <f>IF(C433&gt;0,VLOOKUP(C433,C404:E409,2,FALSE),"")</f>
        <v>箕輪中学校</v>
      </c>
      <c r="E433" s="43" t="str">
        <f>IF(C433&gt;0,VLOOKUP(C433,C404:E409,3,FALSE),"")</f>
        <v>中村　駿太</v>
      </c>
      <c r="F433" s="5"/>
      <c r="G433" s="6"/>
      <c r="H433" s="6"/>
      <c r="I433" s="6"/>
      <c r="J433" s="6"/>
      <c r="K433" s="6"/>
      <c r="L433" s="6"/>
      <c r="M433" s="6"/>
      <c r="N433" s="6"/>
      <c r="O433" s="7"/>
    </row>
    <row r="434" spans="1:15" s="1" customFormat="1">
      <c r="C434" s="44">
        <f>IF(C409=6,4,IF(C408=5,1,IF(C407=4,0,0)))</f>
        <v>1</v>
      </c>
      <c r="D434" s="45" t="str">
        <f>IF(C434&gt;0,VLOOKUP(C434,C404:E409,2,FALSE),"")</f>
        <v>ワセダクラブ</v>
      </c>
      <c r="E434" s="46" t="str">
        <f>IF(C434&gt;0,VLOOKUP(C434,C404:E409,3,FALSE),"")</f>
        <v>鈴木　統吾</v>
      </c>
      <c r="F434" s="8"/>
      <c r="G434" s="9"/>
      <c r="H434" s="9"/>
      <c r="I434" s="9"/>
      <c r="J434" s="9"/>
      <c r="K434" s="9"/>
      <c r="L434" s="9"/>
      <c r="M434" s="9"/>
      <c r="N434" s="9"/>
      <c r="O434" s="10"/>
    </row>
    <row r="435" spans="1:15" s="11" customFormat="1" ht="10.5">
      <c r="C435" s="49"/>
      <c r="D435" s="50"/>
      <c r="E435" s="51"/>
      <c r="F435" s="12"/>
      <c r="G435" s="12"/>
      <c r="H435" s="12"/>
      <c r="I435" s="12"/>
      <c r="J435" s="12"/>
      <c r="K435" s="12"/>
      <c r="L435" s="12"/>
      <c r="M435" s="12"/>
      <c r="N435" s="12"/>
      <c r="O435" s="13"/>
    </row>
    <row r="436" spans="1:15" s="1" customFormat="1">
      <c r="A436" s="1">
        <v>9</v>
      </c>
      <c r="C436" s="41">
        <f>IF(C409=6,5,IF(C408=5,3,IF(C407=4,0,0)))</f>
        <v>3</v>
      </c>
      <c r="D436" s="42" t="str">
        <f>IF(C436&gt;0,VLOOKUP(C436,C404:E409,2,FALSE),"")</f>
        <v>SEIBUスポーツ</v>
      </c>
      <c r="E436" s="43" t="str">
        <f>IF(C436&gt;0,VLOOKUP(C436,C404:E409,3,FALSE),"")</f>
        <v>大原　士侑</v>
      </c>
      <c r="F436" s="5"/>
      <c r="G436" s="6"/>
      <c r="H436" s="6"/>
      <c r="I436" s="6"/>
      <c r="J436" s="6"/>
      <c r="K436" s="6"/>
      <c r="L436" s="6"/>
      <c r="M436" s="6"/>
      <c r="N436" s="6"/>
      <c r="O436" s="7"/>
    </row>
    <row r="437" spans="1:15" s="1" customFormat="1">
      <c r="C437" s="44">
        <f>IF(C409=6,3,IF(C408=5,5,IF(C407=4,0,0)))</f>
        <v>5</v>
      </c>
      <c r="D437" s="45" t="str">
        <f>IF(C437&gt;0,VLOOKUP(C437,C404:E409,2,FALSE),"")</f>
        <v>はしまモア</v>
      </c>
      <c r="E437" s="46" t="str">
        <f>IF(C437&gt;0,VLOOKUP(C437,C404:E409,3,FALSE),"")</f>
        <v>木曽　瑞己</v>
      </c>
      <c r="F437" s="8"/>
      <c r="G437" s="9"/>
      <c r="H437" s="9"/>
      <c r="I437" s="9"/>
      <c r="J437" s="9"/>
      <c r="K437" s="9"/>
      <c r="L437" s="9"/>
      <c r="M437" s="9"/>
      <c r="N437" s="9"/>
      <c r="O437" s="10"/>
    </row>
    <row r="438" spans="1:15" s="11" customFormat="1" ht="10.5">
      <c r="C438" s="49"/>
      <c r="D438" s="50"/>
      <c r="E438" s="51"/>
      <c r="F438" s="12"/>
      <c r="G438" s="12"/>
      <c r="H438" s="12"/>
      <c r="I438" s="12"/>
      <c r="J438" s="12"/>
      <c r="K438" s="12"/>
      <c r="L438" s="12"/>
      <c r="M438" s="12"/>
      <c r="N438" s="12"/>
      <c r="O438" s="13"/>
    </row>
    <row r="439" spans="1:15" s="1" customFormat="1">
      <c r="A439" s="1">
        <v>10</v>
      </c>
      <c r="C439" s="41">
        <f>IF(C409=6,1,IF(C408=5,4,IF(C407=4,0,0)))</f>
        <v>4</v>
      </c>
      <c r="D439" s="42" t="str">
        <f>IF(C439&gt;0,VLOOKUP(C439,C404:E409,2,FALSE),"")</f>
        <v>箕輪中学校</v>
      </c>
      <c r="E439" s="43" t="str">
        <f>IF(C439&gt;0,VLOOKUP(C439,C404:E409,3,FALSE),"")</f>
        <v>中村　駿太</v>
      </c>
      <c r="F439" s="5"/>
      <c r="G439" s="6"/>
      <c r="H439" s="6"/>
      <c r="I439" s="6"/>
      <c r="J439" s="6"/>
      <c r="K439" s="6"/>
      <c r="L439" s="6"/>
      <c r="M439" s="6"/>
      <c r="N439" s="6"/>
      <c r="O439" s="7"/>
    </row>
    <row r="440" spans="1:15" s="1" customFormat="1">
      <c r="C440" s="44">
        <f>IF(C409=6,6,IF(C408=5,2,IF(C407=4,0,0)))</f>
        <v>2</v>
      </c>
      <c r="D440" s="45" t="str">
        <f>IF(C440&gt;0,VLOOKUP(C440,C404:E409,2,FALSE),"")</f>
        <v>長野ジュニア</v>
      </c>
      <c r="E440" s="46" t="str">
        <f>IF(C440&gt;0,VLOOKUP(C440,C404:E409,3,FALSE),"")</f>
        <v>登内　雄心</v>
      </c>
      <c r="F440" s="8"/>
      <c r="G440" s="9"/>
      <c r="H440" s="9"/>
      <c r="I440" s="9"/>
      <c r="J440" s="9"/>
      <c r="K440" s="9"/>
      <c r="L440" s="9"/>
      <c r="M440" s="9"/>
      <c r="N440" s="9"/>
      <c r="O440" s="10"/>
    </row>
    <row r="441" spans="1:15" s="11" customFormat="1" ht="10.5">
      <c r="C441" s="49"/>
      <c r="D441" s="50"/>
      <c r="E441" s="51"/>
      <c r="F441" s="12"/>
      <c r="G441" s="12"/>
      <c r="H441" s="12"/>
      <c r="I441" s="12"/>
      <c r="J441" s="12"/>
      <c r="K441" s="12"/>
      <c r="L441" s="12"/>
      <c r="M441" s="12"/>
      <c r="N441" s="12"/>
      <c r="O441" s="13"/>
    </row>
    <row r="442" spans="1:15" s="1" customFormat="1">
      <c r="A442" s="1">
        <v>11</v>
      </c>
      <c r="C442" s="41">
        <f>IF(C409=6,4,0)</f>
        <v>0</v>
      </c>
      <c r="D442" s="42" t="str">
        <f>IF(C442&gt;0,VLOOKUP(C442,C404:E409,2,FALSE),"")</f>
        <v/>
      </c>
      <c r="E442" s="43" t="str">
        <f>IF(C442&gt;0,VLOOKUP(C442,C404:E409,3,FALSE),"")</f>
        <v/>
      </c>
      <c r="F442" s="5"/>
      <c r="G442" s="6"/>
      <c r="H442" s="6"/>
      <c r="I442" s="6"/>
      <c r="J442" s="6"/>
      <c r="K442" s="6"/>
      <c r="L442" s="6"/>
      <c r="M442" s="6"/>
      <c r="N442" s="6"/>
      <c r="O442" s="7"/>
    </row>
    <row r="443" spans="1:15" s="1" customFormat="1">
      <c r="C443" s="44">
        <f>IF(C409=6,2,0)</f>
        <v>0</v>
      </c>
      <c r="D443" s="45" t="str">
        <f>IF(C443&gt;0,VLOOKUP(C443,C404:E409,2,FALSE),"")</f>
        <v/>
      </c>
      <c r="E443" s="46" t="str">
        <f>IF(C443&gt;0,VLOOKUP(C443,C404:E409,3,FALSE),"")</f>
        <v/>
      </c>
      <c r="F443" s="8"/>
      <c r="G443" s="9"/>
      <c r="H443" s="9"/>
      <c r="I443" s="9"/>
      <c r="J443" s="9"/>
      <c r="K443" s="9"/>
      <c r="L443" s="9"/>
      <c r="M443" s="9"/>
      <c r="N443" s="9"/>
      <c r="O443" s="10"/>
    </row>
    <row r="444" spans="1:15" s="11" customFormat="1" ht="10.5">
      <c r="C444" s="49"/>
      <c r="D444" s="50"/>
      <c r="E444" s="51"/>
      <c r="F444" s="12"/>
      <c r="G444" s="12"/>
      <c r="H444" s="12"/>
      <c r="I444" s="12"/>
      <c r="J444" s="12"/>
      <c r="K444" s="12"/>
      <c r="L444" s="12"/>
      <c r="M444" s="12"/>
      <c r="N444" s="12"/>
      <c r="O444" s="13"/>
    </row>
    <row r="445" spans="1:15" s="1" customFormat="1">
      <c r="A445" s="1">
        <v>12</v>
      </c>
      <c r="C445" s="41">
        <f>IF(C409=6,3,0)</f>
        <v>0</v>
      </c>
      <c r="D445" s="42" t="str">
        <f>IF(C445&gt;0,VLOOKUP(C445,C404:E409,2,FALSE),"")</f>
        <v/>
      </c>
      <c r="E445" s="43" t="str">
        <f>IF(C445&gt;0,VLOOKUP(C445,C404:E409,3,FALSE),"")</f>
        <v/>
      </c>
      <c r="F445" s="5"/>
      <c r="G445" s="6"/>
      <c r="H445" s="6"/>
      <c r="I445" s="6"/>
      <c r="J445" s="6"/>
      <c r="K445" s="6"/>
      <c r="L445" s="6"/>
      <c r="M445" s="6"/>
      <c r="N445" s="6"/>
      <c r="O445" s="7"/>
    </row>
    <row r="446" spans="1:15" s="1" customFormat="1" ht="13.5" customHeight="1">
      <c r="C446" s="44">
        <f>IF(C409=6,6,0)</f>
        <v>0</v>
      </c>
      <c r="D446" s="45" t="str">
        <f>IF(C446&gt;0,VLOOKUP(C446,C404:E409,2,FALSE),"")</f>
        <v/>
      </c>
      <c r="E446" s="46" t="str">
        <f>IF(C446&gt;0,VLOOKUP(C446,C404:E409,3,FALSE),"")</f>
        <v/>
      </c>
      <c r="F446" s="8"/>
      <c r="G446" s="9"/>
      <c r="H446" s="9"/>
      <c r="I446" s="9"/>
      <c r="J446" s="9"/>
      <c r="K446" s="9"/>
      <c r="L446" s="9"/>
      <c r="M446" s="9"/>
      <c r="N446" s="9"/>
      <c r="O446" s="10"/>
    </row>
    <row r="447" spans="1:15" s="11" customFormat="1" ht="10.5">
      <c r="C447" s="49"/>
      <c r="D447" s="50"/>
      <c r="E447" s="51"/>
      <c r="F447" s="12"/>
      <c r="G447" s="12"/>
      <c r="H447" s="12"/>
      <c r="I447" s="12"/>
      <c r="J447" s="12"/>
      <c r="K447" s="12"/>
      <c r="L447" s="12"/>
      <c r="M447" s="12"/>
      <c r="N447" s="12"/>
      <c r="O447" s="13"/>
    </row>
    <row r="448" spans="1:15" s="1" customFormat="1">
      <c r="A448" s="1">
        <v>13</v>
      </c>
      <c r="C448" s="41">
        <f>IF(C409=6,5,0)</f>
        <v>0</v>
      </c>
      <c r="D448" s="42" t="str">
        <f>IF(C448&gt;0,VLOOKUP(C448,C404:E409,2,FALSE),"")</f>
        <v/>
      </c>
      <c r="E448" s="43" t="str">
        <f>IF(C448&gt;0,VLOOKUP(C448,C404:E409,3,FALSE),"")</f>
        <v/>
      </c>
      <c r="F448" s="5"/>
      <c r="G448" s="6"/>
      <c r="H448" s="6"/>
      <c r="I448" s="6"/>
      <c r="J448" s="6"/>
      <c r="K448" s="6"/>
      <c r="L448" s="6"/>
      <c r="M448" s="6"/>
      <c r="N448" s="6"/>
      <c r="O448" s="7"/>
    </row>
    <row r="449" spans="1:16" s="1" customFormat="1">
      <c r="C449" s="44">
        <f>IF(C409=6,1,0)</f>
        <v>0</v>
      </c>
      <c r="D449" s="45" t="str">
        <f>IF(C449&gt;0,VLOOKUP(C449,C404:E409,2,FALSE),"")</f>
        <v/>
      </c>
      <c r="E449" s="46" t="str">
        <f>IF(C449&gt;0,VLOOKUP(C449,C404:E409,3,FALSE),"")</f>
        <v/>
      </c>
      <c r="F449" s="8"/>
      <c r="G449" s="9"/>
      <c r="H449" s="9"/>
      <c r="I449" s="9"/>
      <c r="J449" s="9"/>
      <c r="K449" s="9"/>
      <c r="L449" s="9"/>
      <c r="M449" s="9"/>
      <c r="N449" s="9"/>
      <c r="O449" s="10"/>
    </row>
    <row r="450" spans="1:16" s="11" customFormat="1" ht="10.5">
      <c r="C450" s="49"/>
      <c r="D450" s="50"/>
      <c r="E450" s="51"/>
      <c r="F450" s="12"/>
      <c r="G450" s="12"/>
      <c r="H450" s="12"/>
      <c r="I450" s="12"/>
      <c r="J450" s="12"/>
      <c r="K450" s="12"/>
      <c r="L450" s="12"/>
      <c r="M450" s="12"/>
      <c r="N450" s="12"/>
      <c r="O450" s="13"/>
    </row>
    <row r="451" spans="1:16" s="1" customFormat="1">
      <c r="A451" s="1">
        <v>14</v>
      </c>
      <c r="C451" s="41">
        <f>IF(C409=6,3,0)</f>
        <v>0</v>
      </c>
      <c r="D451" s="42" t="str">
        <f>IF(C451&gt;0,VLOOKUP(C451,C404:E409,2,FALSE),"")</f>
        <v/>
      </c>
      <c r="E451" s="43" t="str">
        <f>IF(C451&gt;0,VLOOKUP(C451,C404:E409,3,FALSE),"")</f>
        <v/>
      </c>
      <c r="F451" s="5"/>
      <c r="G451" s="6"/>
      <c r="H451" s="6"/>
      <c r="I451" s="6"/>
      <c r="J451" s="6"/>
      <c r="K451" s="6"/>
      <c r="L451" s="6"/>
      <c r="M451" s="6"/>
      <c r="N451" s="6"/>
      <c r="O451" s="7"/>
    </row>
    <row r="452" spans="1:16" s="1" customFormat="1">
      <c r="C452" s="44">
        <f>IF(C409=6,4,0)</f>
        <v>0</v>
      </c>
      <c r="D452" s="45" t="str">
        <f>IF(C452&gt;0,VLOOKUP(C452,C404:E409,2,FALSE),"")</f>
        <v/>
      </c>
      <c r="E452" s="46" t="str">
        <f>IF(C452&gt;0,VLOOKUP(C452,C404:E409,3,FALSE),"")</f>
        <v/>
      </c>
      <c r="F452" s="8"/>
      <c r="G452" s="9"/>
      <c r="H452" s="9"/>
      <c r="I452" s="9"/>
      <c r="J452" s="9"/>
      <c r="K452" s="9"/>
      <c r="L452" s="9"/>
      <c r="M452" s="9"/>
      <c r="N452" s="9"/>
      <c r="O452" s="10"/>
    </row>
    <row r="453" spans="1:16" s="11" customFormat="1" ht="10.5">
      <c r="C453" s="49"/>
      <c r="D453" s="50"/>
      <c r="E453" s="51"/>
      <c r="F453" s="12"/>
      <c r="G453" s="12"/>
      <c r="H453" s="12"/>
      <c r="I453" s="12"/>
      <c r="J453" s="12"/>
      <c r="K453" s="12"/>
      <c r="L453" s="12"/>
      <c r="M453" s="12"/>
      <c r="N453" s="12"/>
      <c r="O453" s="13"/>
    </row>
    <row r="454" spans="1:16" s="1" customFormat="1">
      <c r="A454" s="1">
        <v>15</v>
      </c>
      <c r="C454" s="41">
        <f>IF(C409=6,6,0)</f>
        <v>0</v>
      </c>
      <c r="D454" s="42" t="str">
        <f>IF(C454&gt;0,VLOOKUP(C454,C404:E409,2,FALSE),"")</f>
        <v/>
      </c>
      <c r="E454" s="43" t="str">
        <f>IF(C454&gt;0,VLOOKUP(C454,C404:E409,3,FALSE),"")</f>
        <v/>
      </c>
      <c r="F454" s="5"/>
      <c r="G454" s="6"/>
      <c r="H454" s="6"/>
      <c r="I454" s="6"/>
      <c r="J454" s="6"/>
      <c r="K454" s="6"/>
      <c r="L454" s="6"/>
      <c r="M454" s="6"/>
      <c r="N454" s="6"/>
      <c r="O454" s="7"/>
    </row>
    <row r="455" spans="1:16" s="1" customFormat="1">
      <c r="C455" s="44">
        <f>IF(C409=6,2,0)</f>
        <v>0</v>
      </c>
      <c r="D455" s="45" t="str">
        <f>IF(C455&gt;0,VLOOKUP(C455,C404:E409,2,FALSE),"")</f>
        <v/>
      </c>
      <c r="E455" s="46" t="str">
        <f>IF(C455&gt;0,VLOOKUP(C455,C404:E409,3,FALSE),"")</f>
        <v/>
      </c>
      <c r="F455" s="8"/>
      <c r="G455" s="9"/>
      <c r="H455" s="9"/>
      <c r="I455" s="9"/>
      <c r="J455" s="9"/>
      <c r="K455" s="9"/>
      <c r="L455" s="9"/>
      <c r="M455" s="9"/>
      <c r="N455" s="9"/>
      <c r="O455" s="10"/>
    </row>
    <row r="456" spans="1:16" s="104" customFormat="1" ht="10.5">
      <c r="C456" s="107"/>
      <c r="D456" s="52"/>
      <c r="E456" s="53"/>
      <c r="F456" s="108"/>
      <c r="G456" s="108"/>
      <c r="H456" s="108"/>
      <c r="I456" s="108"/>
      <c r="J456" s="108"/>
      <c r="K456" s="108"/>
      <c r="L456" s="108"/>
      <c r="M456" s="108"/>
      <c r="N456" s="108"/>
      <c r="O456" s="109"/>
    </row>
    <row r="457" spans="1:16" s="57" customFormat="1" ht="17.25">
      <c r="A457" s="321" t="str">
        <f>名簿!$A$1</f>
        <v>第9回川本杯はしまモアフェンシング大会</v>
      </c>
      <c r="B457" s="321"/>
      <c r="C457" s="321"/>
      <c r="D457" s="321"/>
      <c r="E457" s="321"/>
      <c r="F457" s="321"/>
      <c r="G457" s="321"/>
      <c r="H457" s="321"/>
      <c r="I457" s="321"/>
      <c r="J457" s="321"/>
      <c r="K457" s="268" t="s">
        <v>72</v>
      </c>
      <c r="L457" s="322" t="s">
        <v>73</v>
      </c>
      <c r="M457" s="322"/>
      <c r="N457" s="322"/>
      <c r="O457" s="323"/>
    </row>
    <row r="458" spans="1:16" s="58" customFormat="1" ht="14.25">
      <c r="A458" s="318" t="str">
        <f>"　"&amp;名簿!$A$2</f>
        <v>　中学男子</v>
      </c>
      <c r="B458" s="318"/>
      <c r="C458" s="318"/>
      <c r="D458" s="318"/>
      <c r="E458" s="318"/>
      <c r="F458" s="318"/>
      <c r="G458" s="318"/>
      <c r="H458" s="318"/>
      <c r="I458" s="318"/>
      <c r="J458" s="318"/>
      <c r="K458" s="269"/>
      <c r="L458" s="319" t="s">
        <v>74</v>
      </c>
      <c r="M458" s="319"/>
      <c r="N458" s="319"/>
      <c r="O458" s="320"/>
    </row>
    <row r="459" spans="1:16" s="58" customFormat="1" ht="14.25">
      <c r="A459" s="314" t="str">
        <f>"　　"&amp;名簿!$A$3</f>
        <v>　　1回戦</v>
      </c>
      <c r="B459" s="314"/>
      <c r="C459" s="314"/>
      <c r="D459" s="314"/>
      <c r="E459" s="314"/>
      <c r="K459" s="315">
        <f>名簿!$E$3</f>
        <v>43184</v>
      </c>
      <c r="L459" s="315"/>
      <c r="M459" s="315"/>
      <c r="N459" s="315"/>
      <c r="O459" s="315"/>
    </row>
    <row r="460" spans="1:16">
      <c r="A460" s="59" t="s">
        <v>57</v>
      </c>
      <c r="B460" s="60" t="s">
        <v>13</v>
      </c>
      <c r="C460" s="61" t="s">
        <v>0</v>
      </c>
      <c r="D460" s="62" t="s">
        <v>7</v>
      </c>
      <c r="E460" s="63" t="s">
        <v>8</v>
      </c>
      <c r="F460" s="64">
        <v>1</v>
      </c>
      <c r="G460" s="65">
        <v>2</v>
      </c>
      <c r="H460" s="65">
        <v>3</v>
      </c>
      <c r="I460" s="65">
        <v>4</v>
      </c>
      <c r="J460" s="65">
        <v>5</v>
      </c>
      <c r="K460" s="66">
        <v>6</v>
      </c>
      <c r="L460" s="67" t="s">
        <v>58</v>
      </c>
      <c r="M460" s="68" t="s">
        <v>59</v>
      </c>
      <c r="N460" s="316" t="s">
        <v>6</v>
      </c>
      <c r="O460" s="317"/>
      <c r="P460" s="69"/>
    </row>
    <row r="461" spans="1:16" ht="18" customHeight="1">
      <c r="A461" s="71">
        <f>'予選 Ｐ'!A53</f>
        <v>9</v>
      </c>
      <c r="B461" s="72">
        <f>'予選 Ｐ'!B53</f>
        <v>9</v>
      </c>
      <c r="C461" s="73">
        <f>'予選 Ｐ'!C53</f>
        <v>1</v>
      </c>
      <c r="D461" s="34" t="str">
        <f>'予選 Ｐ'!E53</f>
        <v>法政大第二中学</v>
      </c>
      <c r="E461" s="35" t="str">
        <f>'予選 Ｐ'!F53</f>
        <v>安井　琥珀</v>
      </c>
      <c r="F461" s="74"/>
      <c r="G461" s="75"/>
      <c r="H461" s="75"/>
      <c r="I461" s="75"/>
      <c r="J461" s="75"/>
      <c r="K461" s="76"/>
      <c r="L461" s="77"/>
      <c r="M461" s="78"/>
      <c r="N461" s="79"/>
      <c r="O461" s="80"/>
      <c r="P461" s="81"/>
    </row>
    <row r="462" spans="1:16" ht="18" customHeight="1">
      <c r="A462" s="82">
        <f>'予選 Ｐ'!A54</f>
        <v>9</v>
      </c>
      <c r="B462" s="83">
        <f>'予選 Ｐ'!B54</f>
        <v>10</v>
      </c>
      <c r="C462" s="84">
        <f>'予選 Ｐ'!C54</f>
        <v>2</v>
      </c>
      <c r="D462" s="36" t="str">
        <f>'予選 Ｐ'!E54</f>
        <v>はしまモア</v>
      </c>
      <c r="E462" s="35" t="str">
        <f>'予選 Ｐ'!F54</f>
        <v>奥田　玲大</v>
      </c>
      <c r="F462" s="85"/>
      <c r="G462" s="86"/>
      <c r="H462" s="87"/>
      <c r="I462" s="87"/>
      <c r="J462" s="87"/>
      <c r="K462" s="88"/>
      <c r="L462" s="89"/>
      <c r="M462" s="90"/>
      <c r="N462" s="91"/>
      <c r="O462" s="92"/>
      <c r="P462" s="81"/>
    </row>
    <row r="463" spans="1:16" ht="18" customHeight="1">
      <c r="A463" s="82">
        <f>'予選 Ｐ'!A55</f>
        <v>9</v>
      </c>
      <c r="B463" s="83">
        <f>'予選 Ｐ'!B55</f>
        <v>22</v>
      </c>
      <c r="C463" s="84">
        <f>'予選 Ｐ'!C55</f>
        <v>3</v>
      </c>
      <c r="D463" s="36" t="str">
        <f>'予選 Ｐ'!E55</f>
        <v>速星中学校</v>
      </c>
      <c r="E463" s="35" t="str">
        <f>'予選 Ｐ'!F55</f>
        <v>山崎　竜聖</v>
      </c>
      <c r="F463" s="85"/>
      <c r="G463" s="87"/>
      <c r="H463" s="86"/>
      <c r="I463" s="87"/>
      <c r="J463" s="87"/>
      <c r="K463" s="88"/>
      <c r="L463" s="89"/>
      <c r="M463" s="90"/>
      <c r="N463" s="91"/>
      <c r="O463" s="92"/>
      <c r="P463" s="81"/>
    </row>
    <row r="464" spans="1:16" ht="18" customHeight="1">
      <c r="A464" s="82">
        <f>'予選 Ｐ'!A56</f>
        <v>9</v>
      </c>
      <c r="B464" s="83">
        <f>IF('予選 Ｐ'!B56="","",'予選 Ｐ'!B56)</f>
        <v>28</v>
      </c>
      <c r="C464" s="84">
        <f>'予選 Ｐ'!C56</f>
        <v>4</v>
      </c>
      <c r="D464" s="36" t="str">
        <f>'予選 Ｐ'!E56</f>
        <v>滋賀ＪＦＣ</v>
      </c>
      <c r="E464" s="35" t="str">
        <f>'予選 Ｐ'!F56</f>
        <v>白川　柊毅</v>
      </c>
      <c r="F464" s="85"/>
      <c r="G464" s="87"/>
      <c r="H464" s="87"/>
      <c r="I464" s="86"/>
      <c r="J464" s="87"/>
      <c r="K464" s="88"/>
      <c r="L464" s="89"/>
      <c r="M464" s="90"/>
      <c r="N464" s="91"/>
      <c r="O464" s="92"/>
      <c r="P464" s="81"/>
    </row>
    <row r="465" spans="1:16" ht="18" customHeight="1">
      <c r="A465" s="82">
        <f>'予選 Ｐ'!A57</f>
        <v>9</v>
      </c>
      <c r="B465" s="83">
        <f>IF('予選 Ｐ'!B57="","",'予選 Ｐ'!B57)</f>
        <v>44</v>
      </c>
      <c r="C465" s="84">
        <f>'予選 Ｐ'!C57</f>
        <v>5</v>
      </c>
      <c r="D465" s="36" t="str">
        <f>'予選 Ｐ'!E57</f>
        <v>養老ＦＣ</v>
      </c>
      <c r="E465" s="35" t="str">
        <f>'予選 Ｐ'!F57</f>
        <v>北川　虎侑</v>
      </c>
      <c r="F465" s="85"/>
      <c r="G465" s="87"/>
      <c r="H465" s="87"/>
      <c r="I465" s="87"/>
      <c r="J465" s="86"/>
      <c r="K465" s="88"/>
      <c r="L465" s="89"/>
      <c r="M465" s="90"/>
      <c r="N465" s="91"/>
      <c r="O465" s="92"/>
      <c r="P465" s="81"/>
    </row>
    <row r="466" spans="1:16" ht="18" customHeight="1">
      <c r="A466" s="93" t="str">
        <f>'予選 Ｐ'!A58</f>
        <v/>
      </c>
      <c r="B466" s="94" t="str">
        <f>IF('予選 Ｐ'!B58="","",'予選 Ｐ'!B58)</f>
        <v/>
      </c>
      <c r="C466" s="95" t="str">
        <f>'予選 Ｐ'!C58</f>
        <v/>
      </c>
      <c r="D466" s="37" t="str">
        <f>'予選 Ｐ'!E58</f>
        <v/>
      </c>
      <c r="E466" s="96" t="str">
        <f>'予選 Ｐ'!F58</f>
        <v/>
      </c>
      <c r="F466" s="97"/>
      <c r="G466" s="98"/>
      <c r="H466" s="98"/>
      <c r="I466" s="98"/>
      <c r="J466" s="98"/>
      <c r="K466" s="99"/>
      <c r="L466" s="100"/>
      <c r="M466" s="101"/>
      <c r="N466" s="102"/>
      <c r="O466" s="103"/>
      <c r="P466" s="81"/>
    </row>
    <row r="467" spans="1:16" s="104" customFormat="1" ht="10.5">
      <c r="D467" s="105"/>
      <c r="E467" s="106"/>
    </row>
    <row r="468" spans="1:16" s="1" customFormat="1">
      <c r="C468" s="38" t="s">
        <v>37</v>
      </c>
      <c r="D468" s="39" t="s">
        <v>16</v>
      </c>
      <c r="E468" s="40" t="s">
        <v>8</v>
      </c>
      <c r="F468" s="2">
        <v>1</v>
      </c>
      <c r="G468" s="3">
        <v>2</v>
      </c>
      <c r="H468" s="3">
        <v>3</v>
      </c>
      <c r="I468" s="3">
        <v>4</v>
      </c>
      <c r="J468" s="3">
        <v>5</v>
      </c>
      <c r="K468" s="3">
        <v>6</v>
      </c>
      <c r="L468" s="3">
        <v>7</v>
      </c>
      <c r="M468" s="3">
        <v>8</v>
      </c>
      <c r="N468" s="3">
        <v>9</v>
      </c>
      <c r="O468" s="4" t="s">
        <v>5</v>
      </c>
    </row>
    <row r="469" spans="1:16" s="1" customFormat="1">
      <c r="A469" s="1">
        <v>1</v>
      </c>
      <c r="C469" s="41">
        <v>1</v>
      </c>
      <c r="D469" s="42" t="str">
        <f>IF(C469&gt;0,VLOOKUP(C469,C461:E466,2,FALSE),"")</f>
        <v>法政大第二中学</v>
      </c>
      <c r="E469" s="43" t="str">
        <f>IF(C469&gt;0,VLOOKUP(C469,C461:E466,3,FALSE),"")</f>
        <v>安井　琥珀</v>
      </c>
      <c r="F469" s="5"/>
      <c r="G469" s="6"/>
      <c r="H469" s="6"/>
      <c r="I469" s="6"/>
      <c r="J469" s="6"/>
      <c r="K469" s="6"/>
      <c r="L469" s="6"/>
      <c r="M469" s="6"/>
      <c r="N469" s="6"/>
      <c r="O469" s="7"/>
    </row>
    <row r="470" spans="1:16" s="1" customFormat="1">
      <c r="C470" s="44">
        <f>IF(C466=6,2,IF(C465=5,2,IF(C464=4,4,IF(C463=3,3))))</f>
        <v>2</v>
      </c>
      <c r="D470" s="45" t="str">
        <f>IF(C470&gt;0,VLOOKUP(C470,C461:E466,2,FALSE),"")</f>
        <v>はしまモア</v>
      </c>
      <c r="E470" s="46" t="str">
        <f>IF(C470&gt;0,VLOOKUP(C470,C461:E466,3,FALSE),"")</f>
        <v>奥田　玲大</v>
      </c>
      <c r="F470" s="8"/>
      <c r="G470" s="9"/>
      <c r="H470" s="9"/>
      <c r="I470" s="9"/>
      <c r="J470" s="9"/>
      <c r="K470" s="9"/>
      <c r="L470" s="9"/>
      <c r="M470" s="9"/>
      <c r="N470" s="9"/>
      <c r="O470" s="10"/>
    </row>
    <row r="471" spans="1:16" s="11" customFormat="1" ht="10.5">
      <c r="D471" s="47"/>
      <c r="E471" s="48"/>
    </row>
    <row r="472" spans="1:16" s="1" customFormat="1">
      <c r="A472" s="1">
        <v>2</v>
      </c>
      <c r="C472" s="41">
        <f>IF(C466=6,4,IF(C465=5,3,IF(C464=4,2,IF(C463=3,2))))</f>
        <v>3</v>
      </c>
      <c r="D472" s="42" t="str">
        <f>IF(C472&gt;0,VLOOKUP(C472,C461:E466,2,FALSE),"")</f>
        <v>速星中学校</v>
      </c>
      <c r="E472" s="43" t="str">
        <f>IF(C472&gt;0,VLOOKUP(C472,C461:E466,3,FALSE),"")</f>
        <v>山崎　竜聖</v>
      </c>
      <c r="F472" s="5"/>
      <c r="G472" s="6"/>
      <c r="H472" s="6"/>
      <c r="I472" s="6"/>
      <c r="J472" s="6"/>
      <c r="K472" s="6"/>
      <c r="L472" s="6"/>
      <c r="M472" s="6"/>
      <c r="N472" s="6"/>
      <c r="O472" s="7"/>
    </row>
    <row r="473" spans="1:16" s="1" customFormat="1">
      <c r="C473" s="44">
        <f>IF(C466=6,5,IF(C465=5,4,IF(C464=4,3,IF(C463=3,3))))</f>
        <v>4</v>
      </c>
      <c r="D473" s="45" t="str">
        <f>IF(C473&gt;0,VLOOKUP(C473,C461:E466,2,FALSE),"")</f>
        <v>滋賀ＪＦＣ</v>
      </c>
      <c r="E473" s="46" t="str">
        <f>IF(C473&gt;0,VLOOKUP(C473,C461:E466,3,FALSE),"")</f>
        <v>白川　柊毅</v>
      </c>
      <c r="F473" s="8"/>
      <c r="G473" s="9"/>
      <c r="H473" s="9"/>
      <c r="I473" s="9"/>
      <c r="J473" s="9"/>
      <c r="K473" s="9"/>
      <c r="L473" s="9"/>
      <c r="M473" s="9"/>
      <c r="N473" s="9"/>
      <c r="O473" s="10"/>
    </row>
    <row r="474" spans="1:16" s="11" customFormat="1" ht="10.5">
      <c r="D474" s="47"/>
      <c r="E474" s="48"/>
    </row>
    <row r="475" spans="1:16" s="1" customFormat="1">
      <c r="A475" s="1">
        <v>3</v>
      </c>
      <c r="C475" s="41">
        <f>IF(C466=6,2,IF(C465=5,5,IF(C464=4,1,IF(C463=3,1))))</f>
        <v>5</v>
      </c>
      <c r="D475" s="42" t="str">
        <f>IF(C475&gt;0,VLOOKUP(C475,C461:E466,2,FALSE),"")</f>
        <v>養老ＦＣ</v>
      </c>
      <c r="E475" s="43" t="str">
        <f>IF(C475&gt;0,VLOOKUP(C475,C461:E466,3,FALSE),"")</f>
        <v>北川　虎侑</v>
      </c>
      <c r="F475" s="5"/>
      <c r="G475" s="6"/>
      <c r="H475" s="6"/>
      <c r="I475" s="6"/>
      <c r="J475" s="6"/>
      <c r="K475" s="6"/>
      <c r="L475" s="6"/>
      <c r="M475" s="6"/>
      <c r="N475" s="6"/>
      <c r="O475" s="7"/>
    </row>
    <row r="476" spans="1:16" s="1" customFormat="1">
      <c r="C476" s="44">
        <f>IF(C466=6,3,IF(C465=5,1,IF(C464=4,3,IF(C463=3,2))))</f>
        <v>1</v>
      </c>
      <c r="D476" s="45" t="str">
        <f>IF(C476&gt;0,VLOOKUP(C476,C461:E466,2,FALSE),"")</f>
        <v>法政大第二中学</v>
      </c>
      <c r="E476" s="46" t="str">
        <f>IF(C476&gt;0,VLOOKUP(C476,C461:E466,3,FALSE),"")</f>
        <v>安井　琥珀</v>
      </c>
      <c r="F476" s="8"/>
      <c r="G476" s="9"/>
      <c r="H476" s="9"/>
      <c r="I476" s="9"/>
      <c r="J476" s="9"/>
      <c r="K476" s="9"/>
      <c r="L476" s="9"/>
      <c r="M476" s="9"/>
      <c r="N476" s="9"/>
      <c r="O476" s="10"/>
    </row>
    <row r="477" spans="1:16" s="11" customFormat="1" ht="10.5">
      <c r="C477" s="49"/>
      <c r="D477" s="50"/>
      <c r="E477" s="51"/>
      <c r="F477" s="12"/>
      <c r="G477" s="12"/>
      <c r="H477" s="12"/>
      <c r="I477" s="12"/>
      <c r="J477" s="12"/>
      <c r="K477" s="12"/>
      <c r="L477" s="12"/>
      <c r="M477" s="12"/>
      <c r="N477" s="12"/>
      <c r="O477" s="13"/>
    </row>
    <row r="478" spans="1:16" s="1" customFormat="1">
      <c r="A478" s="1">
        <v>4</v>
      </c>
      <c r="C478" s="41">
        <f>IF(C466=6,5,IF(C465=5,2,IF(C464=4,2,IF(C463=3,0,0))))</f>
        <v>2</v>
      </c>
      <c r="D478" s="42" t="str">
        <f>IF(C478&gt;0,VLOOKUP(C478,C461:E466,2,FALSE),"")</f>
        <v>はしまモア</v>
      </c>
      <c r="E478" s="43" t="str">
        <f>IF(C478&gt;0,VLOOKUP(C478,C461:E466,3,FALSE),"")</f>
        <v>奥田　玲大</v>
      </c>
      <c r="F478" s="5"/>
      <c r="G478" s="6"/>
      <c r="H478" s="6"/>
      <c r="I478" s="6"/>
      <c r="J478" s="6"/>
      <c r="K478" s="6"/>
      <c r="L478" s="6"/>
      <c r="M478" s="6"/>
      <c r="N478" s="6"/>
      <c r="O478" s="7"/>
    </row>
    <row r="479" spans="1:16" s="1" customFormat="1">
      <c r="C479" s="44">
        <f>IF(C466=6,6,IF(C465=5,3,IF(C464=4,4,IF(C463=3,0,0))))</f>
        <v>3</v>
      </c>
      <c r="D479" s="45" t="str">
        <f>IF(C479&gt;0,VLOOKUP(C479,C461:E466,2,FALSE),"")</f>
        <v>速星中学校</v>
      </c>
      <c r="E479" s="46" t="str">
        <f>IF(C479&gt;0,VLOOKUP(C479,C461:E466,3,FALSE),"")</f>
        <v>山崎　竜聖</v>
      </c>
      <c r="F479" s="8"/>
      <c r="G479" s="9"/>
      <c r="H479" s="9"/>
      <c r="I479" s="9"/>
      <c r="J479" s="9"/>
      <c r="K479" s="9"/>
      <c r="L479" s="9"/>
      <c r="M479" s="9"/>
      <c r="N479" s="9"/>
      <c r="O479" s="10"/>
    </row>
    <row r="480" spans="1:16" s="11" customFormat="1" ht="10.5">
      <c r="C480" s="49"/>
      <c r="D480" s="50"/>
      <c r="E480" s="51"/>
      <c r="F480" s="12"/>
      <c r="G480" s="12"/>
      <c r="H480" s="12"/>
      <c r="I480" s="12"/>
      <c r="J480" s="12"/>
      <c r="K480" s="12"/>
      <c r="L480" s="12"/>
      <c r="M480" s="12"/>
      <c r="N480" s="12"/>
      <c r="O480" s="13"/>
    </row>
    <row r="481" spans="1:15" s="1" customFormat="1">
      <c r="A481" s="1">
        <v>5</v>
      </c>
      <c r="C481" s="41">
        <f>IF(C466=6,3,IF(C465=5,5,IF(C464=4,3,IF(C463=3,0,0))))</f>
        <v>5</v>
      </c>
      <c r="D481" s="42" t="str">
        <f>IF(C481&gt;0,VLOOKUP(C481,C461:E466,2,FALSE),"")</f>
        <v>養老ＦＣ</v>
      </c>
      <c r="E481" s="43" t="str">
        <f>IF(C481&gt;0,VLOOKUP(C481,C461:E466,3,FALSE),"")</f>
        <v>北川　虎侑</v>
      </c>
      <c r="F481" s="5"/>
      <c r="G481" s="6"/>
      <c r="H481" s="6"/>
      <c r="I481" s="6"/>
      <c r="J481" s="6"/>
      <c r="K481" s="6"/>
      <c r="L481" s="6"/>
      <c r="M481" s="6"/>
      <c r="N481" s="6"/>
      <c r="O481" s="7"/>
    </row>
    <row r="482" spans="1:15" s="1" customFormat="1">
      <c r="C482" s="44">
        <f>IF(C466=6,1,IF(C465=5,4,IF(C464=4,4,IF(C463=3,0,0))))</f>
        <v>4</v>
      </c>
      <c r="D482" s="45" t="str">
        <f>IF(C482&gt;0,VLOOKUP(C482,C461:E466,2,FALSE),"")</f>
        <v>滋賀ＪＦＣ</v>
      </c>
      <c r="E482" s="46" t="str">
        <f>IF(C482&gt;0,VLOOKUP(C482,C461:E466,3,FALSE),"")</f>
        <v>白川　柊毅</v>
      </c>
      <c r="F482" s="8"/>
      <c r="G482" s="9"/>
      <c r="H482" s="9"/>
      <c r="I482" s="9"/>
      <c r="J482" s="9"/>
      <c r="K482" s="9"/>
      <c r="L482" s="9"/>
      <c r="M482" s="9"/>
      <c r="N482" s="9"/>
      <c r="O482" s="10"/>
    </row>
    <row r="483" spans="1:15" s="11" customFormat="1" ht="10.5">
      <c r="C483" s="49"/>
      <c r="D483" s="50"/>
      <c r="E483" s="51"/>
      <c r="F483" s="12"/>
      <c r="G483" s="12"/>
      <c r="H483" s="12"/>
      <c r="I483" s="12"/>
      <c r="J483" s="12"/>
      <c r="K483" s="12"/>
      <c r="L483" s="12"/>
      <c r="M483" s="12"/>
      <c r="N483" s="12"/>
      <c r="O483" s="13"/>
    </row>
    <row r="484" spans="1:15" s="1" customFormat="1">
      <c r="A484" s="1">
        <v>6</v>
      </c>
      <c r="C484" s="41">
        <f>IF(C466=6,6,IF(C465=5,1,IF(C464=4,1,IF(C463=3,0,0))))</f>
        <v>1</v>
      </c>
      <c r="D484" s="42" t="str">
        <f>IF(C484&gt;0,VLOOKUP(C484,C461:E466,2,FALSE),"")</f>
        <v>法政大第二中学</v>
      </c>
      <c r="E484" s="43" t="str">
        <f>IF(C484&gt;0,VLOOKUP(C484,C461:E466,3,FALSE),"")</f>
        <v>安井　琥珀</v>
      </c>
      <c r="F484" s="5"/>
      <c r="G484" s="6"/>
      <c r="H484" s="6"/>
      <c r="I484" s="6"/>
      <c r="J484" s="6"/>
      <c r="K484" s="6"/>
      <c r="L484" s="6"/>
      <c r="M484" s="6"/>
      <c r="N484" s="6"/>
      <c r="O484" s="7"/>
    </row>
    <row r="485" spans="1:15" s="1" customFormat="1">
      <c r="C485" s="44">
        <f>IF(C466=6,4,IF(C465=5,3,IF(C464=4,2,IF(C463=3,0,0))))</f>
        <v>3</v>
      </c>
      <c r="D485" s="45" t="str">
        <f>IF(C485&gt;0,VLOOKUP(C485,C461:E466,2,FALSE),"")</f>
        <v>速星中学校</v>
      </c>
      <c r="E485" s="46" t="str">
        <f>IF(C485&gt;0,VLOOKUP(C485,C461:E466,3,FALSE),"")</f>
        <v>山崎　竜聖</v>
      </c>
      <c r="F485" s="8"/>
      <c r="G485" s="9"/>
      <c r="H485" s="9"/>
      <c r="I485" s="9"/>
      <c r="J485" s="9"/>
      <c r="K485" s="9"/>
      <c r="L485" s="9"/>
      <c r="M485" s="9"/>
      <c r="N485" s="9"/>
      <c r="O485" s="10"/>
    </row>
    <row r="486" spans="1:15" s="11" customFormat="1" ht="10.5">
      <c r="C486" s="49"/>
      <c r="D486" s="50"/>
      <c r="E486" s="51"/>
      <c r="F486" s="12"/>
      <c r="G486" s="12"/>
      <c r="H486" s="12"/>
      <c r="I486" s="12"/>
      <c r="J486" s="12"/>
      <c r="K486" s="12"/>
      <c r="L486" s="12"/>
      <c r="M486" s="12"/>
      <c r="N486" s="12"/>
      <c r="O486" s="13"/>
    </row>
    <row r="487" spans="1:15" s="1" customFormat="1">
      <c r="A487" s="1">
        <v>7</v>
      </c>
      <c r="C487" s="41">
        <f>IF(C466=6,2,IF(C465=5,2,IF(C464=4,0,0)))</f>
        <v>2</v>
      </c>
      <c r="D487" s="42" t="str">
        <f>IF(C487&gt;0,VLOOKUP(C487,C461:E466,2,FALSE),"")</f>
        <v>はしまモア</v>
      </c>
      <c r="E487" s="43" t="str">
        <f>IF(C487&gt;0,VLOOKUP(C487,C461:E466,3,FALSE),"")</f>
        <v>奥田　玲大</v>
      </c>
      <c r="F487" s="5"/>
      <c r="G487" s="6"/>
      <c r="H487" s="6"/>
      <c r="I487" s="6"/>
      <c r="J487" s="6"/>
      <c r="K487" s="6"/>
      <c r="L487" s="6"/>
      <c r="M487" s="6"/>
      <c r="N487" s="6"/>
      <c r="O487" s="7"/>
    </row>
    <row r="488" spans="1:15" s="1" customFormat="1">
      <c r="C488" s="44">
        <f>IF(C466=6,5,IF(C465=5,5,IF(C464=4,0,0)))</f>
        <v>5</v>
      </c>
      <c r="D488" s="45" t="str">
        <f>IF(C488&gt;0,VLOOKUP(C488,C461:E466,2,FALSE),"")</f>
        <v>養老ＦＣ</v>
      </c>
      <c r="E488" s="46" t="str">
        <f>IF(C488&gt;0,VLOOKUP(C488,C461:E466,3,FALSE),"")</f>
        <v>北川　虎侑</v>
      </c>
      <c r="F488" s="8"/>
      <c r="G488" s="9"/>
      <c r="H488" s="9"/>
      <c r="I488" s="9"/>
      <c r="J488" s="9"/>
      <c r="K488" s="9"/>
      <c r="L488" s="9"/>
      <c r="M488" s="9"/>
      <c r="N488" s="9"/>
      <c r="O488" s="10"/>
    </row>
    <row r="489" spans="1:15" s="11" customFormat="1" ht="10.5">
      <c r="C489" s="49"/>
      <c r="D489" s="50"/>
      <c r="E489" s="51"/>
      <c r="F489" s="12"/>
      <c r="G489" s="12"/>
      <c r="H489" s="12"/>
      <c r="I489" s="12"/>
      <c r="J489" s="12"/>
      <c r="K489" s="12"/>
      <c r="L489" s="12"/>
      <c r="M489" s="12"/>
      <c r="N489" s="12"/>
      <c r="O489" s="13"/>
    </row>
    <row r="490" spans="1:15" s="1" customFormat="1">
      <c r="A490" s="1">
        <v>8</v>
      </c>
      <c r="C490" s="41">
        <f>IF(C466=6,1,IF(C465=5,4,IF(C464=4,0,0)))</f>
        <v>4</v>
      </c>
      <c r="D490" s="42" t="str">
        <f>IF(C490&gt;0,VLOOKUP(C490,C461:E466,2,FALSE),"")</f>
        <v>滋賀ＪＦＣ</v>
      </c>
      <c r="E490" s="43" t="str">
        <f>IF(C490&gt;0,VLOOKUP(C490,C461:E466,3,FALSE),"")</f>
        <v>白川　柊毅</v>
      </c>
      <c r="F490" s="5"/>
      <c r="G490" s="6"/>
      <c r="H490" s="6"/>
      <c r="I490" s="6"/>
      <c r="J490" s="6"/>
      <c r="K490" s="6"/>
      <c r="L490" s="6"/>
      <c r="M490" s="6"/>
      <c r="N490" s="6"/>
      <c r="O490" s="7"/>
    </row>
    <row r="491" spans="1:15" s="1" customFormat="1">
      <c r="C491" s="44">
        <f>IF(C466=6,4,IF(C465=5,1,IF(C464=4,0,0)))</f>
        <v>1</v>
      </c>
      <c r="D491" s="45" t="str">
        <f>IF(C491&gt;0,VLOOKUP(C491,C461:E466,2,FALSE),"")</f>
        <v>法政大第二中学</v>
      </c>
      <c r="E491" s="46" t="str">
        <f>IF(C491&gt;0,VLOOKUP(C491,C461:E466,3,FALSE),"")</f>
        <v>安井　琥珀</v>
      </c>
      <c r="F491" s="8"/>
      <c r="G491" s="9"/>
      <c r="H491" s="9"/>
      <c r="I491" s="9"/>
      <c r="J491" s="9"/>
      <c r="K491" s="9"/>
      <c r="L491" s="9"/>
      <c r="M491" s="9"/>
      <c r="N491" s="9"/>
      <c r="O491" s="10"/>
    </row>
    <row r="492" spans="1:15" s="11" customFormat="1" ht="10.5">
      <c r="C492" s="49"/>
      <c r="D492" s="50"/>
      <c r="E492" s="51"/>
      <c r="F492" s="12"/>
      <c r="G492" s="12"/>
      <c r="H492" s="12"/>
      <c r="I492" s="12"/>
      <c r="J492" s="12"/>
      <c r="K492" s="12"/>
      <c r="L492" s="12"/>
      <c r="M492" s="12"/>
      <c r="N492" s="12"/>
      <c r="O492" s="13"/>
    </row>
    <row r="493" spans="1:15" s="1" customFormat="1">
      <c r="A493" s="1">
        <v>9</v>
      </c>
      <c r="C493" s="41">
        <f>IF(C466=6,5,IF(C465=5,3,IF(C464=4,0,0)))</f>
        <v>3</v>
      </c>
      <c r="D493" s="42" t="str">
        <f>IF(C493&gt;0,VLOOKUP(C493,C461:E466,2,FALSE),"")</f>
        <v>速星中学校</v>
      </c>
      <c r="E493" s="43" t="str">
        <f>IF(C493&gt;0,VLOOKUP(C493,C461:E466,3,FALSE),"")</f>
        <v>山崎　竜聖</v>
      </c>
      <c r="F493" s="5"/>
      <c r="G493" s="6"/>
      <c r="H493" s="6"/>
      <c r="I493" s="6"/>
      <c r="J493" s="6"/>
      <c r="K493" s="6"/>
      <c r="L493" s="6"/>
      <c r="M493" s="6"/>
      <c r="N493" s="6"/>
      <c r="O493" s="7"/>
    </row>
    <row r="494" spans="1:15" s="1" customFormat="1">
      <c r="C494" s="44">
        <f>IF(C466=6,3,IF(C465=5,5,IF(C464=4,0,0)))</f>
        <v>5</v>
      </c>
      <c r="D494" s="45" t="str">
        <f>IF(C494&gt;0,VLOOKUP(C494,C461:E466,2,FALSE),"")</f>
        <v>養老ＦＣ</v>
      </c>
      <c r="E494" s="46" t="str">
        <f>IF(C494&gt;0,VLOOKUP(C494,C461:E466,3,FALSE),"")</f>
        <v>北川　虎侑</v>
      </c>
      <c r="F494" s="8"/>
      <c r="G494" s="9"/>
      <c r="H494" s="9"/>
      <c r="I494" s="9"/>
      <c r="J494" s="9"/>
      <c r="K494" s="9"/>
      <c r="L494" s="9"/>
      <c r="M494" s="9"/>
      <c r="N494" s="9"/>
      <c r="O494" s="10"/>
    </row>
    <row r="495" spans="1:15" s="11" customFormat="1" ht="10.5">
      <c r="C495" s="49"/>
      <c r="D495" s="50"/>
      <c r="E495" s="51"/>
      <c r="F495" s="12"/>
      <c r="G495" s="12"/>
      <c r="H495" s="12"/>
      <c r="I495" s="12"/>
      <c r="J495" s="12"/>
      <c r="K495" s="12"/>
      <c r="L495" s="12"/>
      <c r="M495" s="12"/>
      <c r="N495" s="12"/>
      <c r="O495" s="13"/>
    </row>
    <row r="496" spans="1:15" s="1" customFormat="1">
      <c r="A496" s="1">
        <v>10</v>
      </c>
      <c r="C496" s="41">
        <f>IF(C466=6,1,IF(C465=5,4,IF(C464=4,0,0)))</f>
        <v>4</v>
      </c>
      <c r="D496" s="42" t="str">
        <f>IF(C496&gt;0,VLOOKUP(C496,C461:E466,2,FALSE),"")</f>
        <v>滋賀ＪＦＣ</v>
      </c>
      <c r="E496" s="43" t="str">
        <f>IF(C496&gt;0,VLOOKUP(C496,C461:E466,3,FALSE),"")</f>
        <v>白川　柊毅</v>
      </c>
      <c r="F496" s="5"/>
      <c r="G496" s="6"/>
      <c r="H496" s="6"/>
      <c r="I496" s="6"/>
      <c r="J496" s="6"/>
      <c r="K496" s="6"/>
      <c r="L496" s="6"/>
      <c r="M496" s="6"/>
      <c r="N496" s="6"/>
      <c r="O496" s="7"/>
    </row>
    <row r="497" spans="1:15" s="1" customFormat="1">
      <c r="C497" s="44">
        <f>IF(C466=6,6,IF(C465=5,2,IF(C464=4,0,0)))</f>
        <v>2</v>
      </c>
      <c r="D497" s="45" t="str">
        <f>IF(C497&gt;0,VLOOKUP(C497,C461:E466,2,FALSE),"")</f>
        <v>はしまモア</v>
      </c>
      <c r="E497" s="46" t="str">
        <f>IF(C497&gt;0,VLOOKUP(C497,C461:E466,3,FALSE),"")</f>
        <v>奥田　玲大</v>
      </c>
      <c r="F497" s="8"/>
      <c r="G497" s="9"/>
      <c r="H497" s="9"/>
      <c r="I497" s="9"/>
      <c r="J497" s="9"/>
      <c r="K497" s="9"/>
      <c r="L497" s="9"/>
      <c r="M497" s="9"/>
      <c r="N497" s="9"/>
      <c r="O497" s="10"/>
    </row>
    <row r="498" spans="1:15" s="11" customFormat="1" ht="10.5">
      <c r="C498" s="49"/>
      <c r="D498" s="50"/>
      <c r="E498" s="51"/>
      <c r="F498" s="12"/>
      <c r="G498" s="12"/>
      <c r="H498" s="12"/>
      <c r="I498" s="12"/>
      <c r="J498" s="12"/>
      <c r="K498" s="12"/>
      <c r="L498" s="12"/>
      <c r="M498" s="12"/>
      <c r="N498" s="12"/>
      <c r="O498" s="13"/>
    </row>
    <row r="499" spans="1:15" s="1" customFormat="1">
      <c r="A499" s="1">
        <v>11</v>
      </c>
      <c r="C499" s="41">
        <f>IF(C466=6,4,0)</f>
        <v>0</v>
      </c>
      <c r="D499" s="42" t="str">
        <f>IF(C499&gt;0,VLOOKUP(C499,C461:E466,2,FALSE),"")</f>
        <v/>
      </c>
      <c r="E499" s="43" t="str">
        <f>IF(C499&gt;0,VLOOKUP(C499,C461:E466,3,FALSE),"")</f>
        <v/>
      </c>
      <c r="F499" s="5"/>
      <c r="G499" s="6"/>
      <c r="H499" s="6"/>
      <c r="I499" s="6"/>
      <c r="J499" s="6"/>
      <c r="K499" s="6"/>
      <c r="L499" s="6"/>
      <c r="M499" s="6"/>
      <c r="N499" s="6"/>
      <c r="O499" s="7"/>
    </row>
    <row r="500" spans="1:15" s="1" customFormat="1">
      <c r="C500" s="44">
        <f>IF(C466=6,2,0)</f>
        <v>0</v>
      </c>
      <c r="D500" s="45" t="str">
        <f>IF(C500&gt;0,VLOOKUP(C500,C461:E466,2,FALSE),"")</f>
        <v/>
      </c>
      <c r="E500" s="46" t="str">
        <f>IF(C500&gt;0,VLOOKUP(C500,C461:E466,3,FALSE),"")</f>
        <v/>
      </c>
      <c r="F500" s="8"/>
      <c r="G500" s="9"/>
      <c r="H500" s="9"/>
      <c r="I500" s="9"/>
      <c r="J500" s="9"/>
      <c r="K500" s="9"/>
      <c r="L500" s="9"/>
      <c r="M500" s="9"/>
      <c r="N500" s="9"/>
      <c r="O500" s="10"/>
    </row>
    <row r="501" spans="1:15" s="11" customFormat="1" ht="10.5">
      <c r="C501" s="49"/>
      <c r="D501" s="50"/>
      <c r="E501" s="51"/>
      <c r="F501" s="12"/>
      <c r="G501" s="12"/>
      <c r="H501" s="12"/>
      <c r="I501" s="12"/>
      <c r="J501" s="12"/>
      <c r="K501" s="12"/>
      <c r="L501" s="12"/>
      <c r="M501" s="12"/>
      <c r="N501" s="12"/>
      <c r="O501" s="13"/>
    </row>
    <row r="502" spans="1:15" s="1" customFormat="1">
      <c r="A502" s="1">
        <v>12</v>
      </c>
      <c r="C502" s="41">
        <f>IF(C466=6,3,0)</f>
        <v>0</v>
      </c>
      <c r="D502" s="42" t="str">
        <f>IF(C502&gt;0,VLOOKUP(C502,C461:E466,2,FALSE),"")</f>
        <v/>
      </c>
      <c r="E502" s="43" t="str">
        <f>IF(C502&gt;0,VLOOKUP(C502,C461:E466,3,FALSE),"")</f>
        <v/>
      </c>
      <c r="F502" s="5"/>
      <c r="G502" s="6"/>
      <c r="H502" s="6"/>
      <c r="I502" s="6"/>
      <c r="J502" s="6"/>
      <c r="K502" s="6"/>
      <c r="L502" s="6"/>
      <c r="M502" s="6"/>
      <c r="N502" s="6"/>
      <c r="O502" s="7"/>
    </row>
    <row r="503" spans="1:15" s="1" customFormat="1" ht="13.5" customHeight="1">
      <c r="C503" s="44">
        <f>IF(C466=6,6,0)</f>
        <v>0</v>
      </c>
      <c r="D503" s="45" t="str">
        <f>IF(C503&gt;0,VLOOKUP(C503,C461:E466,2,FALSE),"")</f>
        <v/>
      </c>
      <c r="E503" s="46" t="str">
        <f>IF(C503&gt;0,VLOOKUP(C503,C461:E466,3,FALSE),"")</f>
        <v/>
      </c>
      <c r="F503" s="8"/>
      <c r="G503" s="9"/>
      <c r="H503" s="9"/>
      <c r="I503" s="9"/>
      <c r="J503" s="9"/>
      <c r="K503" s="9"/>
      <c r="L503" s="9"/>
      <c r="M503" s="9"/>
      <c r="N503" s="9"/>
      <c r="O503" s="10"/>
    </row>
    <row r="504" spans="1:15" s="11" customFormat="1" ht="10.5">
      <c r="C504" s="49"/>
      <c r="D504" s="50"/>
      <c r="E504" s="51"/>
      <c r="F504" s="12"/>
      <c r="G504" s="12"/>
      <c r="H504" s="12"/>
      <c r="I504" s="12"/>
      <c r="J504" s="12"/>
      <c r="K504" s="12"/>
      <c r="L504" s="12"/>
      <c r="M504" s="12"/>
      <c r="N504" s="12"/>
      <c r="O504" s="13"/>
    </row>
    <row r="505" spans="1:15" s="1" customFormat="1">
      <c r="A505" s="1">
        <v>13</v>
      </c>
      <c r="C505" s="41">
        <f>IF(C466=6,5,0)</f>
        <v>0</v>
      </c>
      <c r="D505" s="42" t="str">
        <f>IF(C505&gt;0,VLOOKUP(C505,C461:E466,2,FALSE),"")</f>
        <v/>
      </c>
      <c r="E505" s="43" t="str">
        <f>IF(C505&gt;0,VLOOKUP(C505,C461:E466,3,FALSE),"")</f>
        <v/>
      </c>
      <c r="F505" s="5"/>
      <c r="G505" s="6"/>
      <c r="H505" s="6"/>
      <c r="I505" s="6"/>
      <c r="J505" s="6"/>
      <c r="K505" s="6"/>
      <c r="L505" s="6"/>
      <c r="M505" s="6"/>
      <c r="N505" s="6"/>
      <c r="O505" s="7"/>
    </row>
    <row r="506" spans="1:15" s="1" customFormat="1">
      <c r="C506" s="44">
        <f>IF(C466=6,1,0)</f>
        <v>0</v>
      </c>
      <c r="D506" s="45" t="str">
        <f>IF(C506&gt;0,VLOOKUP(C506,C461:E466,2,FALSE),"")</f>
        <v/>
      </c>
      <c r="E506" s="46" t="str">
        <f>IF(C506&gt;0,VLOOKUP(C506,C461:E466,3,FALSE),"")</f>
        <v/>
      </c>
      <c r="F506" s="8"/>
      <c r="G506" s="9"/>
      <c r="H506" s="9"/>
      <c r="I506" s="9"/>
      <c r="J506" s="9"/>
      <c r="K506" s="9"/>
      <c r="L506" s="9"/>
      <c r="M506" s="9"/>
      <c r="N506" s="9"/>
      <c r="O506" s="10"/>
    </row>
    <row r="507" spans="1:15" s="11" customFormat="1" ht="10.5">
      <c r="C507" s="49"/>
      <c r="D507" s="50"/>
      <c r="E507" s="51"/>
      <c r="F507" s="12"/>
      <c r="G507" s="12"/>
      <c r="H507" s="12"/>
      <c r="I507" s="12"/>
      <c r="J507" s="12"/>
      <c r="K507" s="12"/>
      <c r="L507" s="12"/>
      <c r="M507" s="12"/>
      <c r="N507" s="12"/>
      <c r="O507" s="13"/>
    </row>
    <row r="508" spans="1:15" s="1" customFormat="1">
      <c r="A508" s="1">
        <v>14</v>
      </c>
      <c r="C508" s="41">
        <f>IF(C466=6,3,0)</f>
        <v>0</v>
      </c>
      <c r="D508" s="42" t="str">
        <f>IF(C508&gt;0,VLOOKUP(C508,C461:E466,2,FALSE),"")</f>
        <v/>
      </c>
      <c r="E508" s="43" t="str">
        <f>IF(C508&gt;0,VLOOKUP(C508,C461:E466,3,FALSE),"")</f>
        <v/>
      </c>
      <c r="F508" s="5"/>
      <c r="G508" s="6"/>
      <c r="H508" s="6"/>
      <c r="I508" s="6"/>
      <c r="J508" s="6"/>
      <c r="K508" s="6"/>
      <c r="L508" s="6"/>
      <c r="M508" s="6"/>
      <c r="N508" s="6"/>
      <c r="O508" s="7"/>
    </row>
    <row r="509" spans="1:15" s="1" customFormat="1">
      <c r="C509" s="44">
        <f>IF(C466=6,4,0)</f>
        <v>0</v>
      </c>
      <c r="D509" s="45" t="str">
        <f>IF(C509&gt;0,VLOOKUP(C509,C461:E466,2,FALSE),"")</f>
        <v/>
      </c>
      <c r="E509" s="46" t="str">
        <f>IF(C509&gt;0,VLOOKUP(C509,C461:E466,3,FALSE),"")</f>
        <v/>
      </c>
      <c r="F509" s="8"/>
      <c r="G509" s="9"/>
      <c r="H509" s="9"/>
      <c r="I509" s="9"/>
      <c r="J509" s="9"/>
      <c r="K509" s="9"/>
      <c r="L509" s="9"/>
      <c r="M509" s="9"/>
      <c r="N509" s="9"/>
      <c r="O509" s="10"/>
    </row>
    <row r="510" spans="1:15" s="11" customFormat="1" ht="10.5">
      <c r="C510" s="49"/>
      <c r="D510" s="50"/>
      <c r="E510" s="51"/>
      <c r="F510" s="12"/>
      <c r="G510" s="12"/>
      <c r="H510" s="12"/>
      <c r="I510" s="12"/>
      <c r="J510" s="12"/>
      <c r="K510" s="12"/>
      <c r="L510" s="12"/>
      <c r="M510" s="12"/>
      <c r="N510" s="12"/>
      <c r="O510" s="13"/>
    </row>
    <row r="511" spans="1:15" s="1" customFormat="1">
      <c r="A511" s="1">
        <v>15</v>
      </c>
      <c r="C511" s="41">
        <f>IF(C466=6,6,0)</f>
        <v>0</v>
      </c>
      <c r="D511" s="42" t="str">
        <f>IF(C511&gt;0,VLOOKUP(C511,C461:E466,2,FALSE),"")</f>
        <v/>
      </c>
      <c r="E511" s="43" t="str">
        <f>IF(C511&gt;0,VLOOKUP(C511,C461:E466,3,FALSE),"")</f>
        <v/>
      </c>
      <c r="F511" s="5"/>
      <c r="G511" s="6"/>
      <c r="H511" s="6"/>
      <c r="I511" s="6"/>
      <c r="J511" s="6"/>
      <c r="K511" s="6"/>
      <c r="L511" s="6"/>
      <c r="M511" s="6"/>
      <c r="N511" s="6"/>
      <c r="O511" s="7"/>
    </row>
    <row r="512" spans="1:15" s="1" customFormat="1">
      <c r="C512" s="44">
        <f>IF(C466=6,2,0)</f>
        <v>0</v>
      </c>
      <c r="D512" s="45" t="str">
        <f>IF(C512&gt;0,VLOOKUP(C512,C461:E466,2,FALSE),"")</f>
        <v/>
      </c>
      <c r="E512" s="46" t="str">
        <f>IF(C512&gt;0,VLOOKUP(C512,C461:E466,3,FALSE),"")</f>
        <v/>
      </c>
      <c r="F512" s="8"/>
      <c r="G512" s="9"/>
      <c r="H512" s="9"/>
      <c r="I512" s="9"/>
      <c r="J512" s="9"/>
      <c r="K512" s="9"/>
      <c r="L512" s="9"/>
      <c r="M512" s="9"/>
      <c r="N512" s="9"/>
      <c r="O512" s="10"/>
    </row>
    <row r="513" spans="1:16" s="104" customFormat="1" ht="10.5">
      <c r="C513" s="107"/>
      <c r="D513" s="52"/>
      <c r="E513" s="53"/>
      <c r="F513" s="108"/>
      <c r="G513" s="108"/>
      <c r="H513" s="108"/>
      <c r="I513" s="108"/>
      <c r="J513" s="108"/>
      <c r="K513" s="108"/>
      <c r="L513" s="108"/>
      <c r="M513" s="108"/>
      <c r="N513" s="108"/>
      <c r="O513" s="109"/>
    </row>
    <row r="514" spans="1:16" s="57" customFormat="1" ht="17.25">
      <c r="A514" s="321" t="str">
        <f>名簿!$A$1</f>
        <v>第9回川本杯はしまモアフェンシング大会</v>
      </c>
      <c r="B514" s="321"/>
      <c r="C514" s="321"/>
      <c r="D514" s="321"/>
      <c r="E514" s="321"/>
      <c r="F514" s="321"/>
      <c r="G514" s="321"/>
      <c r="H514" s="321"/>
      <c r="I514" s="321"/>
      <c r="J514" s="321"/>
      <c r="K514" s="268" t="s">
        <v>72</v>
      </c>
      <c r="L514" s="322" t="s">
        <v>73</v>
      </c>
      <c r="M514" s="322"/>
      <c r="N514" s="322"/>
      <c r="O514" s="323"/>
    </row>
    <row r="515" spans="1:16" s="58" customFormat="1" ht="14.25">
      <c r="A515" s="318" t="str">
        <f>"　"&amp;名簿!$A$2</f>
        <v>　中学男子</v>
      </c>
      <c r="B515" s="318"/>
      <c r="C515" s="318"/>
      <c r="D515" s="318"/>
      <c r="E515" s="318"/>
      <c r="F515" s="318"/>
      <c r="G515" s="318"/>
      <c r="H515" s="318"/>
      <c r="I515" s="318"/>
      <c r="J515" s="318"/>
      <c r="K515" s="269"/>
      <c r="L515" s="319" t="s">
        <v>74</v>
      </c>
      <c r="M515" s="319"/>
      <c r="N515" s="319"/>
      <c r="O515" s="320"/>
    </row>
    <row r="516" spans="1:16" s="58" customFormat="1" ht="14.25">
      <c r="A516" s="314" t="str">
        <f>"　　"&amp;名簿!$A$3</f>
        <v>　　1回戦</v>
      </c>
      <c r="B516" s="314"/>
      <c r="C516" s="314"/>
      <c r="D516" s="314"/>
      <c r="E516" s="314"/>
      <c r="K516" s="315">
        <f>名簿!$E$3</f>
        <v>43184</v>
      </c>
      <c r="L516" s="315"/>
      <c r="M516" s="315"/>
      <c r="N516" s="315"/>
      <c r="O516" s="315"/>
    </row>
    <row r="517" spans="1:16">
      <c r="A517" s="59" t="s">
        <v>57</v>
      </c>
      <c r="B517" s="60" t="s">
        <v>13</v>
      </c>
      <c r="C517" s="61" t="s">
        <v>0</v>
      </c>
      <c r="D517" s="62" t="s">
        <v>7</v>
      </c>
      <c r="E517" s="63" t="s">
        <v>8</v>
      </c>
      <c r="F517" s="64">
        <v>1</v>
      </c>
      <c r="G517" s="65">
        <v>2</v>
      </c>
      <c r="H517" s="65">
        <v>3</v>
      </c>
      <c r="I517" s="65">
        <v>4</v>
      </c>
      <c r="J517" s="65">
        <v>5</v>
      </c>
      <c r="K517" s="66">
        <v>6</v>
      </c>
      <c r="L517" s="67" t="s">
        <v>58</v>
      </c>
      <c r="M517" s="68" t="s">
        <v>59</v>
      </c>
      <c r="N517" s="316" t="s">
        <v>6</v>
      </c>
      <c r="O517" s="317"/>
      <c r="P517" s="69"/>
    </row>
    <row r="518" spans="1:16" ht="18" customHeight="1">
      <c r="A518" s="71">
        <f>'予選 Ｐ'!A59</f>
        <v>10</v>
      </c>
      <c r="B518" s="72">
        <f>'予選 Ｐ'!B59</f>
        <v>0</v>
      </c>
      <c r="C518" s="73" t="str">
        <f>'予選 Ｐ'!C59</f>
        <v/>
      </c>
      <c r="D518" s="34" t="str">
        <f>'予選 Ｐ'!E59</f>
        <v/>
      </c>
      <c r="E518" s="35" t="str">
        <f>'予選 Ｐ'!F59</f>
        <v/>
      </c>
      <c r="F518" s="74"/>
      <c r="G518" s="75"/>
      <c r="H518" s="75"/>
      <c r="I518" s="75"/>
      <c r="J518" s="75"/>
      <c r="K518" s="76"/>
      <c r="L518" s="77"/>
      <c r="M518" s="78"/>
      <c r="N518" s="79"/>
      <c r="O518" s="80"/>
      <c r="P518" s="81"/>
    </row>
    <row r="519" spans="1:16" ht="18" customHeight="1">
      <c r="A519" s="82" t="str">
        <f>'予選 Ｐ'!A60</f>
        <v/>
      </c>
      <c r="B519" s="83">
        <f>'予選 Ｐ'!B60</f>
        <v>0</v>
      </c>
      <c r="C519" s="84" t="str">
        <f>'予選 Ｐ'!C60</f>
        <v/>
      </c>
      <c r="D519" s="36" t="str">
        <f>'予選 Ｐ'!E60</f>
        <v/>
      </c>
      <c r="E519" s="35" t="str">
        <f>'予選 Ｐ'!F60</f>
        <v/>
      </c>
      <c r="F519" s="85"/>
      <c r="G519" s="86"/>
      <c r="H519" s="87"/>
      <c r="I519" s="87"/>
      <c r="J519" s="87"/>
      <c r="K519" s="88"/>
      <c r="L519" s="89"/>
      <c r="M519" s="90"/>
      <c r="N519" s="91"/>
      <c r="O519" s="92"/>
      <c r="P519" s="81"/>
    </row>
    <row r="520" spans="1:16" ht="18" customHeight="1">
      <c r="A520" s="82" t="str">
        <f>'予選 Ｐ'!A61</f>
        <v/>
      </c>
      <c r="B520" s="83">
        <f>'予選 Ｐ'!B61</f>
        <v>0</v>
      </c>
      <c r="C520" s="84" t="str">
        <f>'予選 Ｐ'!C61</f>
        <v/>
      </c>
      <c r="D520" s="36" t="str">
        <f>'予選 Ｐ'!E61</f>
        <v/>
      </c>
      <c r="E520" s="35" t="str">
        <f>'予選 Ｐ'!F61</f>
        <v/>
      </c>
      <c r="F520" s="85"/>
      <c r="G520" s="87"/>
      <c r="H520" s="86"/>
      <c r="I520" s="87"/>
      <c r="J520" s="87"/>
      <c r="K520" s="88"/>
      <c r="L520" s="89"/>
      <c r="M520" s="90"/>
      <c r="N520" s="91"/>
      <c r="O520" s="92"/>
      <c r="P520" s="81"/>
    </row>
    <row r="521" spans="1:16" ht="18" customHeight="1">
      <c r="A521" s="82" t="str">
        <f>'予選 Ｐ'!A62</f>
        <v/>
      </c>
      <c r="B521" s="83" t="str">
        <f>IF('予選 Ｐ'!B62="","",'予選 Ｐ'!B62)</f>
        <v/>
      </c>
      <c r="C521" s="84" t="str">
        <f>'予選 Ｐ'!C62</f>
        <v/>
      </c>
      <c r="D521" s="36" t="str">
        <f>'予選 Ｐ'!E62</f>
        <v/>
      </c>
      <c r="E521" s="35" t="str">
        <f>'予選 Ｐ'!F62</f>
        <v/>
      </c>
      <c r="F521" s="85"/>
      <c r="G521" s="87"/>
      <c r="H521" s="87"/>
      <c r="I521" s="86"/>
      <c r="J521" s="87"/>
      <c r="K521" s="88"/>
      <c r="L521" s="89"/>
      <c r="M521" s="90"/>
      <c r="N521" s="91"/>
      <c r="O521" s="92"/>
      <c r="P521" s="81"/>
    </row>
    <row r="522" spans="1:16" ht="18" customHeight="1">
      <c r="A522" s="82" t="str">
        <f>'予選 Ｐ'!A63</f>
        <v/>
      </c>
      <c r="B522" s="83" t="str">
        <f>IF('予選 Ｐ'!B63="","",'予選 Ｐ'!B63)</f>
        <v/>
      </c>
      <c r="C522" s="84" t="str">
        <f>'予選 Ｐ'!C63</f>
        <v/>
      </c>
      <c r="D522" s="36" t="str">
        <f>'予選 Ｐ'!E63</f>
        <v/>
      </c>
      <c r="E522" s="35" t="str">
        <f>'予選 Ｐ'!F63</f>
        <v/>
      </c>
      <c r="F522" s="85"/>
      <c r="G522" s="87"/>
      <c r="H522" s="87"/>
      <c r="I522" s="87"/>
      <c r="J522" s="86"/>
      <c r="K522" s="88"/>
      <c r="L522" s="89"/>
      <c r="M522" s="90"/>
      <c r="N522" s="91"/>
      <c r="O522" s="92"/>
      <c r="P522" s="81"/>
    </row>
    <row r="523" spans="1:16" ht="18" customHeight="1">
      <c r="A523" s="93" t="str">
        <f>'予選 Ｐ'!A64</f>
        <v/>
      </c>
      <c r="B523" s="94" t="str">
        <f>IF('予選 Ｐ'!B64="","",'予選 Ｐ'!B64)</f>
        <v/>
      </c>
      <c r="C523" s="95" t="str">
        <f>'予選 Ｐ'!C64</f>
        <v/>
      </c>
      <c r="D523" s="37" t="str">
        <f>'予選 Ｐ'!E64</f>
        <v/>
      </c>
      <c r="E523" s="96" t="str">
        <f>'予選 Ｐ'!F64</f>
        <v/>
      </c>
      <c r="F523" s="97"/>
      <c r="G523" s="98"/>
      <c r="H523" s="98"/>
      <c r="I523" s="98"/>
      <c r="J523" s="98"/>
      <c r="K523" s="99"/>
      <c r="L523" s="100"/>
      <c r="M523" s="101"/>
      <c r="N523" s="102"/>
      <c r="O523" s="103"/>
      <c r="P523" s="81"/>
    </row>
    <row r="524" spans="1:16" s="104" customFormat="1" ht="10.5">
      <c r="D524" s="105"/>
      <c r="E524" s="106"/>
    </row>
    <row r="525" spans="1:16" s="1" customFormat="1">
      <c r="C525" s="38" t="s">
        <v>37</v>
      </c>
      <c r="D525" s="39" t="s">
        <v>16</v>
      </c>
      <c r="E525" s="40" t="s">
        <v>8</v>
      </c>
      <c r="F525" s="2">
        <v>1</v>
      </c>
      <c r="G525" s="3">
        <v>2</v>
      </c>
      <c r="H525" s="3">
        <v>3</v>
      </c>
      <c r="I525" s="3">
        <v>4</v>
      </c>
      <c r="J525" s="3">
        <v>5</v>
      </c>
      <c r="K525" s="3">
        <v>6</v>
      </c>
      <c r="L525" s="3">
        <v>7</v>
      </c>
      <c r="M525" s="3">
        <v>8</v>
      </c>
      <c r="N525" s="3">
        <v>9</v>
      </c>
      <c r="O525" s="4" t="s">
        <v>5</v>
      </c>
    </row>
    <row r="526" spans="1:16" s="1" customFormat="1">
      <c r="A526" s="1">
        <v>1</v>
      </c>
      <c r="C526" s="41">
        <v>1</v>
      </c>
      <c r="D526" s="42" t="e">
        <f>IF(C526&gt;0,VLOOKUP(C526,C518:E523,2,FALSE),"")</f>
        <v>#N/A</v>
      </c>
      <c r="E526" s="43" t="e">
        <f>IF(C526&gt;0,VLOOKUP(C526,C518:E523,3,FALSE),"")</f>
        <v>#N/A</v>
      </c>
      <c r="F526" s="5"/>
      <c r="G526" s="6"/>
      <c r="H526" s="6"/>
      <c r="I526" s="6"/>
      <c r="J526" s="6"/>
      <c r="K526" s="6"/>
      <c r="L526" s="6"/>
      <c r="M526" s="6"/>
      <c r="N526" s="6"/>
      <c r="O526" s="7"/>
    </row>
    <row r="527" spans="1:16" s="1" customFormat="1">
      <c r="C527" s="44" t="b">
        <f>IF(C523=6,2,IF(C522=5,2,IF(C521=4,4,IF(C520=3,3))))</f>
        <v>0</v>
      </c>
      <c r="D527" s="45" t="e">
        <f>IF(C527&gt;0,VLOOKUP(C527,C518:E523,2,FALSE),"")</f>
        <v>#N/A</v>
      </c>
      <c r="E527" s="46" t="e">
        <f>IF(C527&gt;0,VLOOKUP(C527,C518:E523,3,FALSE),"")</f>
        <v>#N/A</v>
      </c>
      <c r="F527" s="8"/>
      <c r="G527" s="9"/>
      <c r="H527" s="9"/>
      <c r="I527" s="9"/>
      <c r="J527" s="9"/>
      <c r="K527" s="9"/>
      <c r="L527" s="9"/>
      <c r="M527" s="9"/>
      <c r="N527" s="9"/>
      <c r="O527" s="10"/>
    </row>
    <row r="528" spans="1:16" s="11" customFormat="1" ht="10.5">
      <c r="D528" s="47"/>
      <c r="E528" s="48"/>
    </row>
    <row r="529" spans="1:15" s="1" customFormat="1">
      <c r="A529" s="1">
        <v>2</v>
      </c>
      <c r="C529" s="41" t="b">
        <f>IF(C523=6,4,IF(C522=5,3,IF(C521=4,2,IF(C520=3,2))))</f>
        <v>0</v>
      </c>
      <c r="D529" s="42" t="e">
        <f>IF(C529&gt;0,VLOOKUP(C529,C518:E523,2,FALSE),"")</f>
        <v>#N/A</v>
      </c>
      <c r="E529" s="43" t="e">
        <f>IF(C529&gt;0,VLOOKUP(C529,C518:E523,3,FALSE),"")</f>
        <v>#N/A</v>
      </c>
      <c r="F529" s="5"/>
      <c r="G529" s="6"/>
      <c r="H529" s="6"/>
      <c r="I529" s="6"/>
      <c r="J529" s="6"/>
      <c r="K529" s="6"/>
      <c r="L529" s="6"/>
      <c r="M529" s="6"/>
      <c r="N529" s="6"/>
      <c r="O529" s="7"/>
    </row>
    <row r="530" spans="1:15" s="1" customFormat="1">
      <c r="C530" s="44" t="b">
        <f>IF(C523=6,5,IF(C522=5,4,IF(C521=4,3,IF(C520=3,3))))</f>
        <v>0</v>
      </c>
      <c r="D530" s="45" t="e">
        <f>IF(C530&gt;0,VLOOKUP(C530,C518:E523,2,FALSE),"")</f>
        <v>#N/A</v>
      </c>
      <c r="E530" s="46" t="e">
        <f>IF(C530&gt;0,VLOOKUP(C530,C518:E523,3,FALSE),"")</f>
        <v>#N/A</v>
      </c>
      <c r="F530" s="8"/>
      <c r="G530" s="9"/>
      <c r="H530" s="9"/>
      <c r="I530" s="9"/>
      <c r="J530" s="9"/>
      <c r="K530" s="9"/>
      <c r="L530" s="9"/>
      <c r="M530" s="9"/>
      <c r="N530" s="9"/>
      <c r="O530" s="10"/>
    </row>
    <row r="531" spans="1:15" s="11" customFormat="1" ht="10.5">
      <c r="D531" s="47"/>
      <c r="E531" s="48"/>
    </row>
    <row r="532" spans="1:15" s="1" customFormat="1">
      <c r="A532" s="1">
        <v>3</v>
      </c>
      <c r="C532" s="41" t="b">
        <f>IF(C523=6,2,IF(C522=5,5,IF(C521=4,1,IF(C520=3,1))))</f>
        <v>0</v>
      </c>
      <c r="D532" s="42" t="e">
        <f>IF(C532&gt;0,VLOOKUP(C532,C518:E523,2,FALSE),"")</f>
        <v>#N/A</v>
      </c>
      <c r="E532" s="43" t="e">
        <f>IF(C532&gt;0,VLOOKUP(C532,C518:E523,3,FALSE),"")</f>
        <v>#N/A</v>
      </c>
      <c r="F532" s="5"/>
      <c r="G532" s="6"/>
      <c r="H532" s="6"/>
      <c r="I532" s="6"/>
      <c r="J532" s="6"/>
      <c r="K532" s="6"/>
      <c r="L532" s="6"/>
      <c r="M532" s="6"/>
      <c r="N532" s="6"/>
      <c r="O532" s="7"/>
    </row>
    <row r="533" spans="1:15" s="1" customFormat="1">
      <c r="C533" s="44" t="b">
        <f>IF(C523=6,3,IF(C522=5,1,IF(C521=4,3,IF(C520=3,2))))</f>
        <v>0</v>
      </c>
      <c r="D533" s="45" t="e">
        <f>IF(C533&gt;0,VLOOKUP(C533,C518:E523,2,FALSE),"")</f>
        <v>#N/A</v>
      </c>
      <c r="E533" s="46" t="e">
        <f>IF(C533&gt;0,VLOOKUP(C533,C518:E523,3,FALSE),"")</f>
        <v>#N/A</v>
      </c>
      <c r="F533" s="8"/>
      <c r="G533" s="9"/>
      <c r="H533" s="9"/>
      <c r="I533" s="9"/>
      <c r="J533" s="9"/>
      <c r="K533" s="9"/>
      <c r="L533" s="9"/>
      <c r="M533" s="9"/>
      <c r="N533" s="9"/>
      <c r="O533" s="10"/>
    </row>
    <row r="534" spans="1:15" s="11" customFormat="1" ht="10.5">
      <c r="C534" s="49"/>
      <c r="D534" s="50"/>
      <c r="E534" s="51"/>
      <c r="F534" s="12"/>
      <c r="G534" s="12"/>
      <c r="H534" s="12"/>
      <c r="I534" s="12"/>
      <c r="J534" s="12"/>
      <c r="K534" s="12"/>
      <c r="L534" s="12"/>
      <c r="M534" s="12"/>
      <c r="N534" s="12"/>
      <c r="O534" s="13"/>
    </row>
    <row r="535" spans="1:15" s="1" customFormat="1">
      <c r="A535" s="1">
        <v>4</v>
      </c>
      <c r="C535" s="41">
        <f>IF(C523=6,5,IF(C522=5,2,IF(C521=4,2,IF(C520=3,0,0))))</f>
        <v>0</v>
      </c>
      <c r="D535" s="42" t="str">
        <f>IF(C535&gt;0,VLOOKUP(C535,C518:E523,2,FALSE),"")</f>
        <v/>
      </c>
      <c r="E535" s="43" t="str">
        <f>IF(C535&gt;0,VLOOKUP(C535,C518:E523,3,FALSE),"")</f>
        <v/>
      </c>
      <c r="F535" s="5"/>
      <c r="G535" s="6"/>
      <c r="H535" s="6"/>
      <c r="I535" s="6"/>
      <c r="J535" s="6"/>
      <c r="K535" s="6"/>
      <c r="L535" s="6"/>
      <c r="M535" s="6"/>
      <c r="N535" s="6"/>
      <c r="O535" s="7"/>
    </row>
    <row r="536" spans="1:15" s="1" customFormat="1">
      <c r="C536" s="44">
        <f>IF(C523=6,6,IF(C522=5,3,IF(C521=4,4,IF(C520=3,0,0))))</f>
        <v>0</v>
      </c>
      <c r="D536" s="45" t="str">
        <f>IF(C536&gt;0,VLOOKUP(C536,C518:E523,2,FALSE),"")</f>
        <v/>
      </c>
      <c r="E536" s="46" t="str">
        <f>IF(C536&gt;0,VLOOKUP(C536,C518:E523,3,FALSE),"")</f>
        <v/>
      </c>
      <c r="F536" s="8"/>
      <c r="G536" s="9"/>
      <c r="H536" s="9"/>
      <c r="I536" s="9"/>
      <c r="J536" s="9"/>
      <c r="K536" s="9"/>
      <c r="L536" s="9"/>
      <c r="M536" s="9"/>
      <c r="N536" s="9"/>
      <c r="O536" s="10"/>
    </row>
    <row r="537" spans="1:15" s="11" customFormat="1" ht="10.5">
      <c r="C537" s="49"/>
      <c r="D537" s="50"/>
      <c r="E537" s="51"/>
      <c r="F537" s="12"/>
      <c r="G537" s="12"/>
      <c r="H537" s="12"/>
      <c r="I537" s="12"/>
      <c r="J537" s="12"/>
      <c r="K537" s="12"/>
      <c r="L537" s="12"/>
      <c r="M537" s="12"/>
      <c r="N537" s="12"/>
      <c r="O537" s="13"/>
    </row>
    <row r="538" spans="1:15" s="1" customFormat="1">
      <c r="A538" s="1">
        <v>5</v>
      </c>
      <c r="C538" s="41">
        <f>IF(C523=6,3,IF(C522=5,5,IF(C521=4,3,IF(C520=3,0,0))))</f>
        <v>0</v>
      </c>
      <c r="D538" s="42" t="str">
        <f>IF(C538&gt;0,VLOOKUP(C538,C518:E523,2,FALSE),"")</f>
        <v/>
      </c>
      <c r="E538" s="43" t="str">
        <f>IF(C538&gt;0,VLOOKUP(C538,C518:E523,3,FALSE),"")</f>
        <v/>
      </c>
      <c r="F538" s="5"/>
      <c r="G538" s="6"/>
      <c r="H538" s="6"/>
      <c r="I538" s="6"/>
      <c r="J538" s="6"/>
      <c r="K538" s="6"/>
      <c r="L538" s="6"/>
      <c r="M538" s="6"/>
      <c r="N538" s="6"/>
      <c r="O538" s="7"/>
    </row>
    <row r="539" spans="1:15" s="1" customFormat="1">
      <c r="C539" s="44">
        <f>IF(C523=6,1,IF(C522=5,4,IF(C521=4,4,IF(C520=3,0,0))))</f>
        <v>0</v>
      </c>
      <c r="D539" s="45" t="str">
        <f>IF(C539&gt;0,VLOOKUP(C539,C518:E523,2,FALSE),"")</f>
        <v/>
      </c>
      <c r="E539" s="46" t="str">
        <f>IF(C539&gt;0,VLOOKUP(C539,C518:E523,3,FALSE),"")</f>
        <v/>
      </c>
      <c r="F539" s="8"/>
      <c r="G539" s="9"/>
      <c r="H539" s="9"/>
      <c r="I539" s="9"/>
      <c r="J539" s="9"/>
      <c r="K539" s="9"/>
      <c r="L539" s="9"/>
      <c r="M539" s="9"/>
      <c r="N539" s="9"/>
      <c r="O539" s="10"/>
    </row>
    <row r="540" spans="1:15" s="11" customFormat="1" ht="10.5">
      <c r="C540" s="49"/>
      <c r="D540" s="50"/>
      <c r="E540" s="51"/>
      <c r="F540" s="12"/>
      <c r="G540" s="12"/>
      <c r="H540" s="12"/>
      <c r="I540" s="12"/>
      <c r="J540" s="12"/>
      <c r="K540" s="12"/>
      <c r="L540" s="12"/>
      <c r="M540" s="12"/>
      <c r="N540" s="12"/>
      <c r="O540" s="13"/>
    </row>
    <row r="541" spans="1:15" s="1" customFormat="1">
      <c r="A541" s="1">
        <v>6</v>
      </c>
      <c r="C541" s="41">
        <f>IF(C523=6,6,IF(C522=5,1,IF(C521=4,1,IF(C520=3,0,0))))</f>
        <v>0</v>
      </c>
      <c r="D541" s="42" t="str">
        <f>IF(C541&gt;0,VLOOKUP(C541,C518:E523,2,FALSE),"")</f>
        <v/>
      </c>
      <c r="E541" s="43" t="str">
        <f>IF(C541&gt;0,VLOOKUP(C541,C518:E523,3,FALSE),"")</f>
        <v/>
      </c>
      <c r="F541" s="5"/>
      <c r="G541" s="6"/>
      <c r="H541" s="6"/>
      <c r="I541" s="6"/>
      <c r="J541" s="6"/>
      <c r="K541" s="6"/>
      <c r="L541" s="6"/>
      <c r="M541" s="6"/>
      <c r="N541" s="6"/>
      <c r="O541" s="7"/>
    </row>
    <row r="542" spans="1:15" s="1" customFormat="1">
      <c r="C542" s="44">
        <f>IF(C523=6,4,IF(C522=5,3,IF(C521=4,2,IF(C520=3,0,0))))</f>
        <v>0</v>
      </c>
      <c r="D542" s="45" t="str">
        <f>IF(C542&gt;0,VLOOKUP(C542,C518:E523,2,FALSE),"")</f>
        <v/>
      </c>
      <c r="E542" s="46" t="str">
        <f>IF(C542&gt;0,VLOOKUP(C542,C518:E523,3,FALSE),"")</f>
        <v/>
      </c>
      <c r="F542" s="8"/>
      <c r="G542" s="9"/>
      <c r="H542" s="9"/>
      <c r="I542" s="9"/>
      <c r="J542" s="9"/>
      <c r="K542" s="9"/>
      <c r="L542" s="9"/>
      <c r="M542" s="9"/>
      <c r="N542" s="9"/>
      <c r="O542" s="10"/>
    </row>
    <row r="543" spans="1:15" s="11" customFormat="1" ht="10.5">
      <c r="C543" s="49"/>
      <c r="D543" s="50"/>
      <c r="E543" s="51"/>
      <c r="F543" s="12"/>
      <c r="G543" s="12"/>
      <c r="H543" s="12"/>
      <c r="I543" s="12"/>
      <c r="J543" s="12"/>
      <c r="K543" s="12"/>
      <c r="L543" s="12"/>
      <c r="M543" s="12"/>
      <c r="N543" s="12"/>
      <c r="O543" s="13"/>
    </row>
    <row r="544" spans="1:15" s="1" customFormat="1">
      <c r="A544" s="1">
        <v>7</v>
      </c>
      <c r="C544" s="41">
        <f>IF(C523=6,2,IF(C522=5,2,IF(C521=4,0,0)))</f>
        <v>0</v>
      </c>
      <c r="D544" s="42" t="str">
        <f>IF(C544&gt;0,VLOOKUP(C544,C518:E523,2,FALSE),"")</f>
        <v/>
      </c>
      <c r="E544" s="43" t="str">
        <f>IF(C544&gt;0,VLOOKUP(C544,C518:E523,3,FALSE),"")</f>
        <v/>
      </c>
      <c r="F544" s="5"/>
      <c r="G544" s="6"/>
      <c r="H544" s="6"/>
      <c r="I544" s="6"/>
      <c r="J544" s="6"/>
      <c r="K544" s="6"/>
      <c r="L544" s="6"/>
      <c r="M544" s="6"/>
      <c r="N544" s="6"/>
      <c r="O544" s="7"/>
    </row>
    <row r="545" spans="1:15" s="1" customFormat="1">
      <c r="C545" s="44">
        <f>IF(C523=6,5,IF(C522=5,5,IF(C521=4,0,0)))</f>
        <v>0</v>
      </c>
      <c r="D545" s="45" t="str">
        <f>IF(C545&gt;0,VLOOKUP(C545,C518:E523,2,FALSE),"")</f>
        <v/>
      </c>
      <c r="E545" s="46" t="str">
        <f>IF(C545&gt;0,VLOOKUP(C545,C518:E523,3,FALSE),"")</f>
        <v/>
      </c>
      <c r="F545" s="8"/>
      <c r="G545" s="9"/>
      <c r="H545" s="9"/>
      <c r="I545" s="9"/>
      <c r="J545" s="9"/>
      <c r="K545" s="9"/>
      <c r="L545" s="9"/>
      <c r="M545" s="9"/>
      <c r="N545" s="9"/>
      <c r="O545" s="10"/>
    </row>
    <row r="546" spans="1:15" s="11" customFormat="1" ht="10.5">
      <c r="C546" s="49"/>
      <c r="D546" s="50"/>
      <c r="E546" s="51"/>
      <c r="F546" s="12"/>
      <c r="G546" s="12"/>
      <c r="H546" s="12"/>
      <c r="I546" s="12"/>
      <c r="J546" s="12"/>
      <c r="K546" s="12"/>
      <c r="L546" s="12"/>
      <c r="M546" s="12"/>
      <c r="N546" s="12"/>
      <c r="O546" s="13"/>
    </row>
    <row r="547" spans="1:15" s="1" customFormat="1">
      <c r="A547" s="1">
        <v>8</v>
      </c>
      <c r="C547" s="41">
        <f>IF(C523=6,1,IF(C522=5,4,IF(C521=4,0,0)))</f>
        <v>0</v>
      </c>
      <c r="D547" s="42" t="str">
        <f>IF(C547&gt;0,VLOOKUP(C547,C518:E523,2,FALSE),"")</f>
        <v/>
      </c>
      <c r="E547" s="43" t="str">
        <f>IF(C547&gt;0,VLOOKUP(C547,C518:E523,3,FALSE),"")</f>
        <v/>
      </c>
      <c r="F547" s="5"/>
      <c r="G547" s="6"/>
      <c r="H547" s="6"/>
      <c r="I547" s="6"/>
      <c r="J547" s="6"/>
      <c r="K547" s="6"/>
      <c r="L547" s="6"/>
      <c r="M547" s="6"/>
      <c r="N547" s="6"/>
      <c r="O547" s="7"/>
    </row>
    <row r="548" spans="1:15" s="1" customFormat="1">
      <c r="C548" s="44">
        <f>IF(C523=6,4,IF(C522=5,1,IF(C521=4,0,0)))</f>
        <v>0</v>
      </c>
      <c r="D548" s="45" t="str">
        <f>IF(C548&gt;0,VLOOKUP(C548,C518:E523,2,FALSE),"")</f>
        <v/>
      </c>
      <c r="E548" s="46" t="str">
        <f>IF(C548&gt;0,VLOOKUP(C548,C518:E523,3,FALSE),"")</f>
        <v/>
      </c>
      <c r="F548" s="8"/>
      <c r="G548" s="9"/>
      <c r="H548" s="9"/>
      <c r="I548" s="9"/>
      <c r="J548" s="9"/>
      <c r="K548" s="9"/>
      <c r="L548" s="9"/>
      <c r="M548" s="9"/>
      <c r="N548" s="9"/>
      <c r="O548" s="10"/>
    </row>
    <row r="549" spans="1:15" s="11" customFormat="1" ht="10.5">
      <c r="C549" s="49"/>
      <c r="D549" s="50"/>
      <c r="E549" s="51"/>
      <c r="F549" s="12"/>
      <c r="G549" s="12"/>
      <c r="H549" s="12"/>
      <c r="I549" s="12"/>
      <c r="J549" s="12"/>
      <c r="K549" s="12"/>
      <c r="L549" s="12"/>
      <c r="M549" s="12"/>
      <c r="N549" s="12"/>
      <c r="O549" s="13"/>
    </row>
    <row r="550" spans="1:15" s="1" customFormat="1">
      <c r="A550" s="1">
        <v>9</v>
      </c>
      <c r="C550" s="41">
        <f>IF(C523=6,5,IF(C522=5,3,IF(C521=4,0,0)))</f>
        <v>0</v>
      </c>
      <c r="D550" s="42" t="str">
        <f>IF(C550&gt;0,VLOOKUP(C550,C518:E523,2,FALSE),"")</f>
        <v/>
      </c>
      <c r="E550" s="43" t="str">
        <f>IF(C550&gt;0,VLOOKUP(C550,C518:E523,3,FALSE),"")</f>
        <v/>
      </c>
      <c r="F550" s="5"/>
      <c r="G550" s="6"/>
      <c r="H550" s="6"/>
      <c r="I550" s="6"/>
      <c r="J550" s="6"/>
      <c r="K550" s="6"/>
      <c r="L550" s="6"/>
      <c r="M550" s="6"/>
      <c r="N550" s="6"/>
      <c r="O550" s="7"/>
    </row>
    <row r="551" spans="1:15" s="1" customFormat="1">
      <c r="C551" s="44">
        <f>IF(C523=6,3,IF(C522=5,5,IF(C521=4,0,0)))</f>
        <v>0</v>
      </c>
      <c r="D551" s="45" t="str">
        <f>IF(C551&gt;0,VLOOKUP(C551,C518:E523,2,FALSE),"")</f>
        <v/>
      </c>
      <c r="E551" s="46" t="str">
        <f>IF(C551&gt;0,VLOOKUP(C551,C518:E523,3,FALSE),"")</f>
        <v/>
      </c>
      <c r="F551" s="8"/>
      <c r="G551" s="9"/>
      <c r="H551" s="9"/>
      <c r="I551" s="9"/>
      <c r="J551" s="9"/>
      <c r="K551" s="9"/>
      <c r="L551" s="9"/>
      <c r="M551" s="9"/>
      <c r="N551" s="9"/>
      <c r="O551" s="10"/>
    </row>
    <row r="552" spans="1:15" s="11" customFormat="1" ht="10.5">
      <c r="C552" s="49"/>
      <c r="D552" s="50"/>
      <c r="E552" s="51"/>
      <c r="F552" s="12"/>
      <c r="G552" s="12"/>
      <c r="H552" s="12"/>
      <c r="I552" s="12"/>
      <c r="J552" s="12"/>
      <c r="K552" s="12"/>
      <c r="L552" s="12"/>
      <c r="M552" s="12"/>
      <c r="N552" s="12"/>
      <c r="O552" s="13"/>
    </row>
    <row r="553" spans="1:15" s="1" customFormat="1">
      <c r="A553" s="1">
        <v>10</v>
      </c>
      <c r="C553" s="41">
        <f>IF(C523=6,1,IF(C522=5,4,IF(C521=4,0,0)))</f>
        <v>0</v>
      </c>
      <c r="D553" s="42" t="str">
        <f>IF(C553&gt;0,VLOOKUP(C553,C518:E523,2,FALSE),"")</f>
        <v/>
      </c>
      <c r="E553" s="43" t="str">
        <f>IF(C553&gt;0,VLOOKUP(C553,C518:E523,3,FALSE),"")</f>
        <v/>
      </c>
      <c r="F553" s="5"/>
      <c r="G553" s="6"/>
      <c r="H553" s="6"/>
      <c r="I553" s="6"/>
      <c r="J553" s="6"/>
      <c r="K553" s="6"/>
      <c r="L553" s="6"/>
      <c r="M553" s="6"/>
      <c r="N553" s="6"/>
      <c r="O553" s="7"/>
    </row>
    <row r="554" spans="1:15" s="1" customFormat="1">
      <c r="C554" s="44">
        <f>IF(C523=6,6,IF(C522=5,2,IF(C521=4,0,0)))</f>
        <v>0</v>
      </c>
      <c r="D554" s="45" t="str">
        <f>IF(C554&gt;0,VLOOKUP(C554,C518:E523,2,FALSE),"")</f>
        <v/>
      </c>
      <c r="E554" s="46" t="str">
        <f>IF(C554&gt;0,VLOOKUP(C554,C518:E523,3,FALSE),"")</f>
        <v/>
      </c>
      <c r="F554" s="8"/>
      <c r="G554" s="9"/>
      <c r="H554" s="9"/>
      <c r="I554" s="9"/>
      <c r="J554" s="9"/>
      <c r="K554" s="9"/>
      <c r="L554" s="9"/>
      <c r="M554" s="9"/>
      <c r="N554" s="9"/>
      <c r="O554" s="10"/>
    </row>
    <row r="555" spans="1:15" s="11" customFormat="1" ht="10.5">
      <c r="C555" s="49"/>
      <c r="D555" s="50"/>
      <c r="E555" s="51"/>
      <c r="F555" s="12"/>
      <c r="G555" s="12"/>
      <c r="H555" s="12"/>
      <c r="I555" s="12"/>
      <c r="J555" s="12"/>
      <c r="K555" s="12"/>
      <c r="L555" s="12"/>
      <c r="M555" s="12"/>
      <c r="N555" s="12"/>
      <c r="O555" s="13"/>
    </row>
    <row r="556" spans="1:15" s="1" customFormat="1">
      <c r="A556" s="1">
        <v>11</v>
      </c>
      <c r="C556" s="41">
        <f>IF(C523=6,4,0)</f>
        <v>0</v>
      </c>
      <c r="D556" s="42" t="str">
        <f>IF(C556&gt;0,VLOOKUP(C556,C518:E523,2,FALSE),"")</f>
        <v/>
      </c>
      <c r="E556" s="43" t="str">
        <f>IF(C556&gt;0,VLOOKUP(C556,C518:E523,3,FALSE),"")</f>
        <v/>
      </c>
      <c r="F556" s="5"/>
      <c r="G556" s="6"/>
      <c r="H556" s="6"/>
      <c r="I556" s="6"/>
      <c r="J556" s="6"/>
      <c r="K556" s="6"/>
      <c r="L556" s="6"/>
      <c r="M556" s="6"/>
      <c r="N556" s="6"/>
      <c r="O556" s="7"/>
    </row>
    <row r="557" spans="1:15" s="1" customFormat="1">
      <c r="C557" s="44">
        <f>IF(C523=6,2,0)</f>
        <v>0</v>
      </c>
      <c r="D557" s="45" t="str">
        <f>IF(C557&gt;0,VLOOKUP(C557,C518:E523,2,FALSE),"")</f>
        <v/>
      </c>
      <c r="E557" s="46" t="str">
        <f>IF(C557&gt;0,VLOOKUP(C557,C518:E523,3,FALSE),"")</f>
        <v/>
      </c>
      <c r="F557" s="8"/>
      <c r="G557" s="9"/>
      <c r="H557" s="9"/>
      <c r="I557" s="9"/>
      <c r="J557" s="9"/>
      <c r="K557" s="9"/>
      <c r="L557" s="9"/>
      <c r="M557" s="9"/>
      <c r="N557" s="9"/>
      <c r="O557" s="10"/>
    </row>
    <row r="558" spans="1:15" s="11" customFormat="1" ht="10.5">
      <c r="C558" s="49"/>
      <c r="D558" s="50"/>
      <c r="E558" s="51"/>
      <c r="F558" s="12"/>
      <c r="G558" s="12"/>
      <c r="H558" s="12"/>
      <c r="I558" s="12"/>
      <c r="J558" s="12"/>
      <c r="K558" s="12"/>
      <c r="L558" s="12"/>
      <c r="M558" s="12"/>
      <c r="N558" s="12"/>
      <c r="O558" s="13"/>
    </row>
    <row r="559" spans="1:15" s="1" customFormat="1">
      <c r="A559" s="1">
        <v>12</v>
      </c>
      <c r="C559" s="41">
        <f>IF(C523=6,3,0)</f>
        <v>0</v>
      </c>
      <c r="D559" s="42" t="str">
        <f>IF(C559&gt;0,VLOOKUP(C559,C518:E523,2,FALSE),"")</f>
        <v/>
      </c>
      <c r="E559" s="43" t="str">
        <f>IF(C559&gt;0,VLOOKUP(C559,C518:E523,3,FALSE),"")</f>
        <v/>
      </c>
      <c r="F559" s="5"/>
      <c r="G559" s="6"/>
      <c r="H559" s="6"/>
      <c r="I559" s="6"/>
      <c r="J559" s="6"/>
      <c r="K559" s="6"/>
      <c r="L559" s="6"/>
      <c r="M559" s="6"/>
      <c r="N559" s="6"/>
      <c r="O559" s="7"/>
    </row>
    <row r="560" spans="1:15" s="1" customFormat="1" ht="13.5" customHeight="1">
      <c r="C560" s="44">
        <f>IF(C523=6,6,0)</f>
        <v>0</v>
      </c>
      <c r="D560" s="45" t="str">
        <f>IF(C560&gt;0,VLOOKUP(C560,C518:E523,2,FALSE),"")</f>
        <v/>
      </c>
      <c r="E560" s="46" t="str">
        <f>IF(C560&gt;0,VLOOKUP(C560,C518:E523,3,FALSE),"")</f>
        <v/>
      </c>
      <c r="F560" s="8"/>
      <c r="G560" s="9"/>
      <c r="H560" s="9"/>
      <c r="I560" s="9"/>
      <c r="J560" s="9"/>
      <c r="K560" s="9"/>
      <c r="L560" s="9"/>
      <c r="M560" s="9"/>
      <c r="N560" s="9"/>
      <c r="O560" s="10"/>
    </row>
    <row r="561" spans="1:16" s="11" customFormat="1" ht="10.5">
      <c r="C561" s="49"/>
      <c r="D561" s="50"/>
      <c r="E561" s="51"/>
      <c r="F561" s="12"/>
      <c r="G561" s="12"/>
      <c r="H561" s="12"/>
      <c r="I561" s="12"/>
      <c r="J561" s="12"/>
      <c r="K561" s="12"/>
      <c r="L561" s="12"/>
      <c r="M561" s="12"/>
      <c r="N561" s="12"/>
      <c r="O561" s="13"/>
    </row>
    <row r="562" spans="1:16" s="1" customFormat="1">
      <c r="A562" s="1">
        <v>13</v>
      </c>
      <c r="C562" s="41">
        <f>IF(C523=6,5,0)</f>
        <v>0</v>
      </c>
      <c r="D562" s="42" t="str">
        <f>IF(C562&gt;0,VLOOKUP(C562,C518:E523,2,FALSE),"")</f>
        <v/>
      </c>
      <c r="E562" s="43" t="str">
        <f>IF(C562&gt;0,VLOOKUP(C562,C518:E523,3,FALSE),"")</f>
        <v/>
      </c>
      <c r="F562" s="5"/>
      <c r="G562" s="6"/>
      <c r="H562" s="6"/>
      <c r="I562" s="6"/>
      <c r="J562" s="6"/>
      <c r="K562" s="6"/>
      <c r="L562" s="6"/>
      <c r="M562" s="6"/>
      <c r="N562" s="6"/>
      <c r="O562" s="7"/>
    </row>
    <row r="563" spans="1:16" s="1" customFormat="1">
      <c r="C563" s="44">
        <f>IF(C523=6,1,0)</f>
        <v>0</v>
      </c>
      <c r="D563" s="45" t="str">
        <f>IF(C563&gt;0,VLOOKUP(C563,C518:E523,2,FALSE),"")</f>
        <v/>
      </c>
      <c r="E563" s="46" t="str">
        <f>IF(C563&gt;0,VLOOKUP(C563,C518:E523,3,FALSE),"")</f>
        <v/>
      </c>
      <c r="F563" s="8"/>
      <c r="G563" s="9"/>
      <c r="H563" s="9"/>
      <c r="I563" s="9"/>
      <c r="J563" s="9"/>
      <c r="K563" s="9"/>
      <c r="L563" s="9"/>
      <c r="M563" s="9"/>
      <c r="N563" s="9"/>
      <c r="O563" s="10"/>
    </row>
    <row r="564" spans="1:16" s="11" customFormat="1" ht="10.5">
      <c r="C564" s="49"/>
      <c r="D564" s="50"/>
      <c r="E564" s="51"/>
      <c r="F564" s="12"/>
      <c r="G564" s="12"/>
      <c r="H564" s="12"/>
      <c r="I564" s="12"/>
      <c r="J564" s="12"/>
      <c r="K564" s="12"/>
      <c r="L564" s="12"/>
      <c r="M564" s="12"/>
      <c r="N564" s="12"/>
      <c r="O564" s="13"/>
    </row>
    <row r="565" spans="1:16" s="1" customFormat="1">
      <c r="A565" s="1">
        <v>14</v>
      </c>
      <c r="C565" s="41">
        <f>IF(C523=6,3,0)</f>
        <v>0</v>
      </c>
      <c r="D565" s="42" t="str">
        <f>IF(C565&gt;0,VLOOKUP(C565,C518:E523,2,FALSE),"")</f>
        <v/>
      </c>
      <c r="E565" s="43" t="str">
        <f>IF(C565&gt;0,VLOOKUP(C565,C518:E523,3,FALSE),"")</f>
        <v/>
      </c>
      <c r="F565" s="5"/>
      <c r="G565" s="6"/>
      <c r="H565" s="6"/>
      <c r="I565" s="6"/>
      <c r="J565" s="6"/>
      <c r="K565" s="6"/>
      <c r="L565" s="6"/>
      <c r="M565" s="6"/>
      <c r="N565" s="6"/>
      <c r="O565" s="7"/>
    </row>
    <row r="566" spans="1:16" s="1" customFormat="1">
      <c r="C566" s="44">
        <f>IF(C523=6,4,0)</f>
        <v>0</v>
      </c>
      <c r="D566" s="45" t="str">
        <f>IF(C566&gt;0,VLOOKUP(C566,C518:E523,2,FALSE),"")</f>
        <v/>
      </c>
      <c r="E566" s="46" t="str">
        <f>IF(C566&gt;0,VLOOKUP(C566,C518:E523,3,FALSE),"")</f>
        <v/>
      </c>
      <c r="F566" s="8"/>
      <c r="G566" s="9"/>
      <c r="H566" s="9"/>
      <c r="I566" s="9"/>
      <c r="J566" s="9"/>
      <c r="K566" s="9"/>
      <c r="L566" s="9"/>
      <c r="M566" s="9"/>
      <c r="N566" s="9"/>
      <c r="O566" s="10"/>
    </row>
    <row r="567" spans="1:16" s="11" customFormat="1" ht="10.5">
      <c r="C567" s="49"/>
      <c r="D567" s="50"/>
      <c r="E567" s="51"/>
      <c r="F567" s="12"/>
      <c r="G567" s="12"/>
      <c r="H567" s="12"/>
      <c r="I567" s="12"/>
      <c r="J567" s="12"/>
      <c r="K567" s="12"/>
      <c r="L567" s="12"/>
      <c r="M567" s="12"/>
      <c r="N567" s="12"/>
      <c r="O567" s="13"/>
    </row>
    <row r="568" spans="1:16" s="1" customFormat="1">
      <c r="A568" s="1">
        <v>15</v>
      </c>
      <c r="C568" s="41">
        <f>IF(C523=6,6,0)</f>
        <v>0</v>
      </c>
      <c r="D568" s="42" t="str">
        <f>IF(C568&gt;0,VLOOKUP(C568,C518:E523,2,FALSE),"")</f>
        <v/>
      </c>
      <c r="E568" s="43" t="str">
        <f>IF(C568&gt;0,VLOOKUP(C568,C518:E523,3,FALSE),"")</f>
        <v/>
      </c>
      <c r="F568" s="5"/>
      <c r="G568" s="6"/>
      <c r="H568" s="6"/>
      <c r="I568" s="6"/>
      <c r="J568" s="6"/>
      <c r="K568" s="6"/>
      <c r="L568" s="6"/>
      <c r="M568" s="6"/>
      <c r="N568" s="6"/>
      <c r="O568" s="7"/>
    </row>
    <row r="569" spans="1:16" s="1" customFormat="1">
      <c r="C569" s="44">
        <f>IF(C523=6,2,0)</f>
        <v>0</v>
      </c>
      <c r="D569" s="45" t="str">
        <f>IF(C569&gt;0,VLOOKUP(C569,C518:E523,2,FALSE),"")</f>
        <v/>
      </c>
      <c r="E569" s="46" t="str">
        <f>IF(C569&gt;0,VLOOKUP(C569,C518:E523,3,FALSE),"")</f>
        <v/>
      </c>
      <c r="F569" s="8"/>
      <c r="G569" s="9"/>
      <c r="H569" s="9"/>
      <c r="I569" s="9"/>
      <c r="J569" s="9"/>
      <c r="K569" s="9"/>
      <c r="L569" s="9"/>
      <c r="M569" s="9"/>
      <c r="N569" s="9"/>
      <c r="O569" s="10"/>
    </row>
    <row r="570" spans="1:16" s="104" customFormat="1" ht="10.5">
      <c r="C570" s="107"/>
      <c r="D570" s="52"/>
      <c r="E570" s="53"/>
      <c r="F570" s="108"/>
      <c r="G570" s="108"/>
      <c r="H570" s="108"/>
      <c r="I570" s="108"/>
      <c r="J570" s="108"/>
      <c r="K570" s="108"/>
      <c r="L570" s="108"/>
      <c r="M570" s="108"/>
      <c r="N570" s="108"/>
      <c r="O570" s="109"/>
    </row>
    <row r="571" spans="1:16" s="57" customFormat="1" ht="17.25">
      <c r="A571" s="321" t="str">
        <f>名簿!$A$1</f>
        <v>第9回川本杯はしまモアフェンシング大会</v>
      </c>
      <c r="B571" s="321"/>
      <c r="C571" s="321"/>
      <c r="D571" s="321"/>
      <c r="E571" s="321"/>
      <c r="F571" s="321"/>
      <c r="G571" s="321"/>
      <c r="H571" s="321"/>
      <c r="I571" s="321"/>
      <c r="J571" s="321"/>
      <c r="K571" s="268" t="s">
        <v>72</v>
      </c>
      <c r="L571" s="322" t="s">
        <v>73</v>
      </c>
      <c r="M571" s="322"/>
      <c r="N571" s="322"/>
      <c r="O571" s="323"/>
    </row>
    <row r="572" spans="1:16" s="58" customFormat="1" ht="14.25">
      <c r="A572" s="318" t="str">
        <f>"　"&amp;名簿!$A$2</f>
        <v>　中学男子</v>
      </c>
      <c r="B572" s="318"/>
      <c r="C572" s="318"/>
      <c r="D572" s="318"/>
      <c r="E572" s="318"/>
      <c r="F572" s="318"/>
      <c r="G572" s="318"/>
      <c r="H572" s="318"/>
      <c r="I572" s="318"/>
      <c r="J572" s="318"/>
      <c r="K572" s="269"/>
      <c r="L572" s="319" t="s">
        <v>74</v>
      </c>
      <c r="M572" s="319"/>
      <c r="N572" s="319"/>
      <c r="O572" s="320"/>
    </row>
    <row r="573" spans="1:16" s="58" customFormat="1" ht="14.25">
      <c r="A573" s="314" t="str">
        <f>"　　"&amp;名簿!$A$3</f>
        <v>　　1回戦</v>
      </c>
      <c r="B573" s="314"/>
      <c r="C573" s="314"/>
      <c r="D573" s="314"/>
      <c r="E573" s="314"/>
      <c r="K573" s="315">
        <f>名簿!$E$3</f>
        <v>43184</v>
      </c>
      <c r="L573" s="315"/>
      <c r="M573" s="315"/>
      <c r="N573" s="315"/>
      <c r="O573" s="315"/>
    </row>
    <row r="574" spans="1:16">
      <c r="A574" s="59" t="s">
        <v>57</v>
      </c>
      <c r="B574" s="60" t="s">
        <v>13</v>
      </c>
      <c r="C574" s="61" t="s">
        <v>0</v>
      </c>
      <c r="D574" s="62" t="s">
        <v>7</v>
      </c>
      <c r="E574" s="63" t="s">
        <v>8</v>
      </c>
      <c r="F574" s="64">
        <v>1</v>
      </c>
      <c r="G574" s="65">
        <v>2</v>
      </c>
      <c r="H574" s="65">
        <v>3</v>
      </c>
      <c r="I574" s="65">
        <v>4</v>
      </c>
      <c r="J574" s="65">
        <v>5</v>
      </c>
      <c r="K574" s="66">
        <v>6</v>
      </c>
      <c r="L574" s="67" t="s">
        <v>58</v>
      </c>
      <c r="M574" s="68" t="s">
        <v>59</v>
      </c>
      <c r="N574" s="316" t="s">
        <v>6</v>
      </c>
      <c r="O574" s="317"/>
      <c r="P574" s="69"/>
    </row>
    <row r="575" spans="1:16" ht="18" customHeight="1">
      <c r="A575" s="71">
        <f>'予選 Ｐ'!A65</f>
        <v>11</v>
      </c>
      <c r="B575" s="72">
        <f>'予選 Ｐ'!B65</f>
        <v>0</v>
      </c>
      <c r="C575" s="73" t="str">
        <f>'予選 Ｐ'!C65</f>
        <v/>
      </c>
      <c r="D575" s="34" t="str">
        <f>'予選 Ｐ'!E65</f>
        <v/>
      </c>
      <c r="E575" s="35" t="str">
        <f>'予選 Ｐ'!F65</f>
        <v/>
      </c>
      <c r="F575" s="74"/>
      <c r="G575" s="75"/>
      <c r="H575" s="75"/>
      <c r="I575" s="75"/>
      <c r="J575" s="75"/>
      <c r="K575" s="76"/>
      <c r="L575" s="77"/>
      <c r="M575" s="78"/>
      <c r="N575" s="79"/>
      <c r="O575" s="80"/>
      <c r="P575" s="81"/>
    </row>
    <row r="576" spans="1:16" ht="18" customHeight="1">
      <c r="A576" s="82" t="str">
        <f>'予選 Ｐ'!A66</f>
        <v/>
      </c>
      <c r="B576" s="83">
        <f>'予選 Ｐ'!B66</f>
        <v>0</v>
      </c>
      <c r="C576" s="84" t="str">
        <f>'予選 Ｐ'!C66</f>
        <v/>
      </c>
      <c r="D576" s="36" t="str">
        <f>'予選 Ｐ'!E66</f>
        <v/>
      </c>
      <c r="E576" s="35" t="str">
        <f>'予選 Ｐ'!F66</f>
        <v/>
      </c>
      <c r="F576" s="85"/>
      <c r="G576" s="86"/>
      <c r="H576" s="87"/>
      <c r="I576" s="87"/>
      <c r="J576" s="87"/>
      <c r="K576" s="88"/>
      <c r="L576" s="89"/>
      <c r="M576" s="90"/>
      <c r="N576" s="91"/>
      <c r="O576" s="92"/>
      <c r="P576" s="81"/>
    </row>
    <row r="577" spans="1:16" ht="18" customHeight="1">
      <c r="A577" s="82" t="str">
        <f>'予選 Ｐ'!A67</f>
        <v/>
      </c>
      <c r="B577" s="83">
        <f>'予選 Ｐ'!B67</f>
        <v>0</v>
      </c>
      <c r="C577" s="84" t="str">
        <f>'予選 Ｐ'!C67</f>
        <v/>
      </c>
      <c r="D577" s="36" t="str">
        <f>'予選 Ｐ'!E67</f>
        <v/>
      </c>
      <c r="E577" s="35" t="str">
        <f>'予選 Ｐ'!F67</f>
        <v/>
      </c>
      <c r="F577" s="85"/>
      <c r="G577" s="87"/>
      <c r="H577" s="86"/>
      <c r="I577" s="87"/>
      <c r="J577" s="87"/>
      <c r="K577" s="88"/>
      <c r="L577" s="89"/>
      <c r="M577" s="90"/>
      <c r="N577" s="91"/>
      <c r="O577" s="92"/>
      <c r="P577" s="81"/>
    </row>
    <row r="578" spans="1:16" ht="18" customHeight="1">
      <c r="A578" s="82" t="str">
        <f>'予選 Ｐ'!A68</f>
        <v/>
      </c>
      <c r="B578" s="83" t="str">
        <f>IF('予選 Ｐ'!B68="","",'予選 Ｐ'!B68)</f>
        <v/>
      </c>
      <c r="C578" s="84" t="str">
        <f>'予選 Ｐ'!C68</f>
        <v/>
      </c>
      <c r="D578" s="36" t="str">
        <f>'予選 Ｐ'!E68</f>
        <v/>
      </c>
      <c r="E578" s="35" t="str">
        <f>'予選 Ｐ'!F68</f>
        <v/>
      </c>
      <c r="F578" s="85"/>
      <c r="G578" s="87"/>
      <c r="H578" s="87"/>
      <c r="I578" s="86"/>
      <c r="J578" s="87"/>
      <c r="K578" s="88"/>
      <c r="L578" s="89"/>
      <c r="M578" s="90"/>
      <c r="N578" s="91"/>
      <c r="O578" s="92"/>
      <c r="P578" s="81"/>
    </row>
    <row r="579" spans="1:16" ht="18" customHeight="1">
      <c r="A579" s="82" t="str">
        <f>'予選 Ｐ'!A69</f>
        <v/>
      </c>
      <c r="B579" s="83" t="str">
        <f>IF('予選 Ｐ'!B69="","",'予選 Ｐ'!B69)</f>
        <v/>
      </c>
      <c r="C579" s="84" t="str">
        <f>'予選 Ｐ'!C69</f>
        <v/>
      </c>
      <c r="D579" s="36" t="str">
        <f>'予選 Ｐ'!E69</f>
        <v/>
      </c>
      <c r="E579" s="35" t="str">
        <f>'予選 Ｐ'!F69</f>
        <v/>
      </c>
      <c r="F579" s="85"/>
      <c r="G579" s="87"/>
      <c r="H579" s="87"/>
      <c r="I579" s="87"/>
      <c r="J579" s="86"/>
      <c r="K579" s="88"/>
      <c r="L579" s="89"/>
      <c r="M579" s="90"/>
      <c r="N579" s="91"/>
      <c r="O579" s="92"/>
      <c r="P579" s="81"/>
    </row>
    <row r="580" spans="1:16" ht="18" customHeight="1">
      <c r="A580" s="93" t="str">
        <f>'予選 Ｐ'!A70</f>
        <v/>
      </c>
      <c r="B580" s="94" t="str">
        <f>IF('予選 Ｐ'!B70="","",'予選 Ｐ'!B70)</f>
        <v/>
      </c>
      <c r="C580" s="95" t="str">
        <f>'予選 Ｐ'!C70</f>
        <v/>
      </c>
      <c r="D580" s="37" t="str">
        <f>'予選 Ｐ'!E70</f>
        <v/>
      </c>
      <c r="E580" s="96" t="str">
        <f>'予選 Ｐ'!F70</f>
        <v/>
      </c>
      <c r="F580" s="97"/>
      <c r="G580" s="98"/>
      <c r="H580" s="98"/>
      <c r="I580" s="98"/>
      <c r="J580" s="98"/>
      <c r="K580" s="99"/>
      <c r="L580" s="100"/>
      <c r="M580" s="101"/>
      <c r="N580" s="102"/>
      <c r="O580" s="103"/>
      <c r="P580" s="81"/>
    </row>
    <row r="581" spans="1:16" s="104" customFormat="1" ht="10.5">
      <c r="D581" s="105"/>
      <c r="E581" s="106"/>
    </row>
    <row r="582" spans="1:16" s="1" customFormat="1">
      <c r="C582" s="38" t="s">
        <v>37</v>
      </c>
      <c r="D582" s="39" t="s">
        <v>16</v>
      </c>
      <c r="E582" s="40" t="s">
        <v>8</v>
      </c>
      <c r="F582" s="2">
        <v>1</v>
      </c>
      <c r="G582" s="3">
        <v>2</v>
      </c>
      <c r="H582" s="3">
        <v>3</v>
      </c>
      <c r="I582" s="3">
        <v>4</v>
      </c>
      <c r="J582" s="3">
        <v>5</v>
      </c>
      <c r="K582" s="3">
        <v>6</v>
      </c>
      <c r="L582" s="3">
        <v>7</v>
      </c>
      <c r="M582" s="3">
        <v>8</v>
      </c>
      <c r="N582" s="3">
        <v>9</v>
      </c>
      <c r="O582" s="4" t="s">
        <v>5</v>
      </c>
    </row>
    <row r="583" spans="1:16" s="1" customFormat="1">
      <c r="A583" s="1">
        <v>1</v>
      </c>
      <c r="C583" s="41">
        <v>1</v>
      </c>
      <c r="D583" s="42" t="e">
        <f>IF(C583&gt;0,VLOOKUP(C583,C575:E580,2,FALSE),"")</f>
        <v>#N/A</v>
      </c>
      <c r="E583" s="43" t="e">
        <f>IF(C583&gt;0,VLOOKUP(C583,C575:E580,3,FALSE),"")</f>
        <v>#N/A</v>
      </c>
      <c r="F583" s="5"/>
      <c r="G583" s="6"/>
      <c r="H583" s="6"/>
      <c r="I583" s="6"/>
      <c r="J583" s="6"/>
      <c r="K583" s="6"/>
      <c r="L583" s="6"/>
      <c r="M583" s="6"/>
      <c r="N583" s="6"/>
      <c r="O583" s="7"/>
    </row>
    <row r="584" spans="1:16" s="1" customFormat="1">
      <c r="C584" s="44" t="b">
        <f>IF(C580=6,2,IF(C579=5,2,IF(C578=4,4,IF(C577=3,3))))</f>
        <v>0</v>
      </c>
      <c r="D584" s="45" t="e">
        <f>IF(C584&gt;0,VLOOKUP(C584,C575:E580,2,FALSE),"")</f>
        <v>#N/A</v>
      </c>
      <c r="E584" s="46" t="e">
        <f>IF(C584&gt;0,VLOOKUP(C584,C575:E580,3,FALSE),"")</f>
        <v>#N/A</v>
      </c>
      <c r="F584" s="8"/>
      <c r="G584" s="9"/>
      <c r="H584" s="9"/>
      <c r="I584" s="9"/>
      <c r="J584" s="9"/>
      <c r="K584" s="9"/>
      <c r="L584" s="9"/>
      <c r="M584" s="9"/>
      <c r="N584" s="9"/>
      <c r="O584" s="10"/>
    </row>
    <row r="585" spans="1:16" s="11" customFormat="1" ht="10.5">
      <c r="D585" s="47"/>
      <c r="E585" s="48"/>
    </row>
    <row r="586" spans="1:16" s="1" customFormat="1">
      <c r="A586" s="1">
        <v>2</v>
      </c>
      <c r="C586" s="41" t="b">
        <f>IF(C580=6,4,IF(C579=5,3,IF(C578=4,2,IF(C577=3,2))))</f>
        <v>0</v>
      </c>
      <c r="D586" s="42" t="e">
        <f>IF(C586&gt;0,VLOOKUP(C586,C575:E580,2,FALSE),"")</f>
        <v>#N/A</v>
      </c>
      <c r="E586" s="43" t="e">
        <f>IF(C586&gt;0,VLOOKUP(C586,C575:E580,3,FALSE),"")</f>
        <v>#N/A</v>
      </c>
      <c r="F586" s="5"/>
      <c r="G586" s="6"/>
      <c r="H586" s="6"/>
      <c r="I586" s="6"/>
      <c r="J586" s="6"/>
      <c r="K586" s="6"/>
      <c r="L586" s="6"/>
      <c r="M586" s="6"/>
      <c r="N586" s="6"/>
      <c r="O586" s="7"/>
    </row>
    <row r="587" spans="1:16" s="1" customFormat="1">
      <c r="C587" s="44" t="b">
        <f>IF(C580=6,5,IF(C579=5,4,IF(C578=4,3,IF(C577=3,3))))</f>
        <v>0</v>
      </c>
      <c r="D587" s="45" t="e">
        <f>IF(C587&gt;0,VLOOKUP(C587,C575:E580,2,FALSE),"")</f>
        <v>#N/A</v>
      </c>
      <c r="E587" s="46" t="e">
        <f>IF(C587&gt;0,VLOOKUP(C587,C575:E580,3,FALSE),"")</f>
        <v>#N/A</v>
      </c>
      <c r="F587" s="8"/>
      <c r="G587" s="9"/>
      <c r="H587" s="9"/>
      <c r="I587" s="9"/>
      <c r="J587" s="9"/>
      <c r="K587" s="9"/>
      <c r="L587" s="9"/>
      <c r="M587" s="9"/>
      <c r="N587" s="9"/>
      <c r="O587" s="10"/>
    </row>
    <row r="588" spans="1:16" s="11" customFormat="1" ht="10.5">
      <c r="D588" s="47"/>
      <c r="E588" s="48"/>
    </row>
    <row r="589" spans="1:16" s="1" customFormat="1">
      <c r="A589" s="1">
        <v>3</v>
      </c>
      <c r="C589" s="41" t="b">
        <f>IF(C580=6,2,IF(C579=5,5,IF(C578=4,1,IF(C577=3,1))))</f>
        <v>0</v>
      </c>
      <c r="D589" s="42" t="e">
        <f>IF(C589&gt;0,VLOOKUP(C589,C575:E580,2,FALSE),"")</f>
        <v>#N/A</v>
      </c>
      <c r="E589" s="43" t="e">
        <f>IF(C589&gt;0,VLOOKUP(C589,C575:E580,3,FALSE),"")</f>
        <v>#N/A</v>
      </c>
      <c r="F589" s="5"/>
      <c r="G589" s="6"/>
      <c r="H589" s="6"/>
      <c r="I589" s="6"/>
      <c r="J589" s="6"/>
      <c r="K589" s="6"/>
      <c r="L589" s="6"/>
      <c r="M589" s="6"/>
      <c r="N589" s="6"/>
      <c r="O589" s="7"/>
    </row>
    <row r="590" spans="1:16" s="1" customFormat="1">
      <c r="C590" s="44" t="b">
        <f>IF(C580=6,3,IF(C579=5,1,IF(C578=4,3,IF(C577=3,2))))</f>
        <v>0</v>
      </c>
      <c r="D590" s="45" t="e">
        <f>IF(C590&gt;0,VLOOKUP(C590,C575:E580,2,FALSE),"")</f>
        <v>#N/A</v>
      </c>
      <c r="E590" s="46" t="e">
        <f>IF(C590&gt;0,VLOOKUP(C590,C575:E580,3,FALSE),"")</f>
        <v>#N/A</v>
      </c>
      <c r="F590" s="8"/>
      <c r="G590" s="9"/>
      <c r="H590" s="9"/>
      <c r="I590" s="9"/>
      <c r="J590" s="9"/>
      <c r="K590" s="9"/>
      <c r="L590" s="9"/>
      <c r="M590" s="9"/>
      <c r="N590" s="9"/>
      <c r="O590" s="10"/>
    </row>
    <row r="591" spans="1:16" s="11" customFormat="1" ht="10.5">
      <c r="C591" s="49"/>
      <c r="D591" s="50"/>
      <c r="E591" s="51"/>
      <c r="F591" s="12"/>
      <c r="G591" s="12"/>
      <c r="H591" s="12"/>
      <c r="I591" s="12"/>
      <c r="J591" s="12"/>
      <c r="K591" s="12"/>
      <c r="L591" s="12"/>
      <c r="M591" s="12"/>
      <c r="N591" s="12"/>
      <c r="O591" s="13"/>
    </row>
    <row r="592" spans="1:16" s="1" customFormat="1">
      <c r="A592" s="1">
        <v>4</v>
      </c>
      <c r="C592" s="41">
        <f>IF(C580=6,5,IF(C579=5,2,IF(C578=4,2,IF(C577=3,0,0))))</f>
        <v>0</v>
      </c>
      <c r="D592" s="42" t="str">
        <f>IF(C592&gt;0,VLOOKUP(C592,C575:E580,2,FALSE),"")</f>
        <v/>
      </c>
      <c r="E592" s="43" t="str">
        <f>IF(C592&gt;0,VLOOKUP(C592,C575:E580,3,FALSE),"")</f>
        <v/>
      </c>
      <c r="F592" s="5"/>
      <c r="G592" s="6"/>
      <c r="H592" s="6"/>
      <c r="I592" s="6"/>
      <c r="J592" s="6"/>
      <c r="K592" s="6"/>
      <c r="L592" s="6"/>
      <c r="M592" s="6"/>
      <c r="N592" s="6"/>
      <c r="O592" s="7"/>
    </row>
    <row r="593" spans="1:15" s="1" customFormat="1">
      <c r="C593" s="44">
        <f>IF(C580=6,6,IF(C579=5,3,IF(C578=4,4,IF(C577=3,0,0))))</f>
        <v>0</v>
      </c>
      <c r="D593" s="45" t="str">
        <f>IF(C593&gt;0,VLOOKUP(C593,C575:E580,2,FALSE),"")</f>
        <v/>
      </c>
      <c r="E593" s="46" t="str">
        <f>IF(C593&gt;0,VLOOKUP(C593,C575:E580,3,FALSE),"")</f>
        <v/>
      </c>
      <c r="F593" s="8"/>
      <c r="G593" s="9"/>
      <c r="H593" s="9"/>
      <c r="I593" s="9"/>
      <c r="J593" s="9"/>
      <c r="K593" s="9"/>
      <c r="L593" s="9"/>
      <c r="M593" s="9"/>
      <c r="N593" s="9"/>
      <c r="O593" s="10"/>
    </row>
    <row r="594" spans="1:15" s="11" customFormat="1" ht="10.5">
      <c r="C594" s="49"/>
      <c r="D594" s="50"/>
      <c r="E594" s="51"/>
      <c r="F594" s="12"/>
      <c r="G594" s="12"/>
      <c r="H594" s="12"/>
      <c r="I594" s="12"/>
      <c r="J594" s="12"/>
      <c r="K594" s="12"/>
      <c r="L594" s="12"/>
      <c r="M594" s="12"/>
      <c r="N594" s="12"/>
      <c r="O594" s="13"/>
    </row>
    <row r="595" spans="1:15" s="1" customFormat="1">
      <c r="A595" s="1">
        <v>5</v>
      </c>
      <c r="C595" s="41">
        <f>IF(C580=6,3,IF(C579=5,5,IF(C578=4,3,IF(C577=3,0,0))))</f>
        <v>0</v>
      </c>
      <c r="D595" s="42" t="str">
        <f>IF(C595&gt;0,VLOOKUP(C595,C575:E580,2,FALSE),"")</f>
        <v/>
      </c>
      <c r="E595" s="43" t="str">
        <f>IF(C595&gt;0,VLOOKUP(C595,C575:E580,3,FALSE),"")</f>
        <v/>
      </c>
      <c r="F595" s="5"/>
      <c r="G595" s="6"/>
      <c r="H595" s="6"/>
      <c r="I595" s="6"/>
      <c r="J595" s="6"/>
      <c r="K595" s="6"/>
      <c r="L595" s="6"/>
      <c r="M595" s="6"/>
      <c r="N595" s="6"/>
      <c r="O595" s="7"/>
    </row>
    <row r="596" spans="1:15" s="1" customFormat="1">
      <c r="C596" s="44">
        <f>IF(C580=6,1,IF(C579=5,4,IF(C578=4,4,IF(C577=3,0,0))))</f>
        <v>0</v>
      </c>
      <c r="D596" s="45" t="str">
        <f>IF(C596&gt;0,VLOOKUP(C596,C575:E580,2,FALSE),"")</f>
        <v/>
      </c>
      <c r="E596" s="46" t="str">
        <f>IF(C596&gt;0,VLOOKUP(C596,C575:E580,3,FALSE),"")</f>
        <v/>
      </c>
      <c r="F596" s="8"/>
      <c r="G596" s="9"/>
      <c r="H596" s="9"/>
      <c r="I596" s="9"/>
      <c r="J596" s="9"/>
      <c r="K596" s="9"/>
      <c r="L596" s="9"/>
      <c r="M596" s="9"/>
      <c r="N596" s="9"/>
      <c r="O596" s="10"/>
    </row>
    <row r="597" spans="1:15" s="11" customFormat="1" ht="10.5">
      <c r="C597" s="49"/>
      <c r="D597" s="50"/>
      <c r="E597" s="51"/>
      <c r="F597" s="12"/>
      <c r="G597" s="12"/>
      <c r="H597" s="12"/>
      <c r="I597" s="12"/>
      <c r="J597" s="12"/>
      <c r="K597" s="12"/>
      <c r="L597" s="12"/>
      <c r="M597" s="12"/>
      <c r="N597" s="12"/>
      <c r="O597" s="13"/>
    </row>
    <row r="598" spans="1:15" s="1" customFormat="1">
      <c r="A598" s="1">
        <v>6</v>
      </c>
      <c r="C598" s="41">
        <f>IF(C580=6,6,IF(C579=5,1,IF(C578=4,1,IF(C577=3,0,0))))</f>
        <v>0</v>
      </c>
      <c r="D598" s="42" t="str">
        <f>IF(C598&gt;0,VLOOKUP(C598,C575:E580,2,FALSE),"")</f>
        <v/>
      </c>
      <c r="E598" s="43" t="str">
        <f>IF(C598&gt;0,VLOOKUP(C598,C575:E580,3,FALSE),"")</f>
        <v/>
      </c>
      <c r="F598" s="5"/>
      <c r="G598" s="6"/>
      <c r="H598" s="6"/>
      <c r="I598" s="6"/>
      <c r="J598" s="6"/>
      <c r="K598" s="6"/>
      <c r="L598" s="6"/>
      <c r="M598" s="6"/>
      <c r="N598" s="6"/>
      <c r="O598" s="7"/>
    </row>
    <row r="599" spans="1:15" s="1" customFormat="1">
      <c r="C599" s="44">
        <f>IF(C580=6,4,IF(C579=5,3,IF(C578=4,2,IF(C577=3,0,0))))</f>
        <v>0</v>
      </c>
      <c r="D599" s="45" t="str">
        <f>IF(C599&gt;0,VLOOKUP(C599,C575:E580,2,FALSE),"")</f>
        <v/>
      </c>
      <c r="E599" s="46" t="str">
        <f>IF(C599&gt;0,VLOOKUP(C599,C575:E580,3,FALSE),"")</f>
        <v/>
      </c>
      <c r="F599" s="8"/>
      <c r="G599" s="9"/>
      <c r="H599" s="9"/>
      <c r="I599" s="9"/>
      <c r="J599" s="9"/>
      <c r="K599" s="9"/>
      <c r="L599" s="9"/>
      <c r="M599" s="9"/>
      <c r="N599" s="9"/>
      <c r="O599" s="10"/>
    </row>
    <row r="600" spans="1:15" s="11" customFormat="1" ht="10.5">
      <c r="C600" s="49"/>
      <c r="D600" s="50"/>
      <c r="E600" s="51"/>
      <c r="F600" s="12"/>
      <c r="G600" s="12"/>
      <c r="H600" s="12"/>
      <c r="I600" s="12"/>
      <c r="J600" s="12"/>
      <c r="K600" s="12"/>
      <c r="L600" s="12"/>
      <c r="M600" s="12"/>
      <c r="N600" s="12"/>
      <c r="O600" s="13"/>
    </row>
    <row r="601" spans="1:15" s="1" customFormat="1">
      <c r="A601" s="1">
        <v>7</v>
      </c>
      <c r="C601" s="41">
        <f>IF(C580=6,2,IF(C579=5,2,IF(C578=4,0,0)))</f>
        <v>0</v>
      </c>
      <c r="D601" s="42" t="str">
        <f>IF(C601&gt;0,VLOOKUP(C601,C575:E580,2,FALSE),"")</f>
        <v/>
      </c>
      <c r="E601" s="43" t="str">
        <f>IF(C601&gt;0,VLOOKUP(C601,C575:E580,3,FALSE),"")</f>
        <v/>
      </c>
      <c r="F601" s="5"/>
      <c r="G601" s="6"/>
      <c r="H601" s="6"/>
      <c r="I601" s="6"/>
      <c r="J601" s="6"/>
      <c r="K601" s="6"/>
      <c r="L601" s="6"/>
      <c r="M601" s="6"/>
      <c r="N601" s="6"/>
      <c r="O601" s="7"/>
    </row>
    <row r="602" spans="1:15" s="1" customFormat="1">
      <c r="C602" s="44">
        <f>IF(C580=6,5,IF(C579=5,5,IF(C578=4,0,0)))</f>
        <v>0</v>
      </c>
      <c r="D602" s="45" t="str">
        <f>IF(C602&gt;0,VLOOKUP(C602,C575:E580,2,FALSE),"")</f>
        <v/>
      </c>
      <c r="E602" s="46" t="str">
        <f>IF(C602&gt;0,VLOOKUP(C602,C575:E580,3,FALSE),"")</f>
        <v/>
      </c>
      <c r="F602" s="8"/>
      <c r="G602" s="9"/>
      <c r="H602" s="9"/>
      <c r="I602" s="9"/>
      <c r="J602" s="9"/>
      <c r="K602" s="9"/>
      <c r="L602" s="9"/>
      <c r="M602" s="9"/>
      <c r="N602" s="9"/>
      <c r="O602" s="10"/>
    </row>
    <row r="603" spans="1:15" s="11" customFormat="1" ht="10.5">
      <c r="C603" s="49"/>
      <c r="D603" s="50"/>
      <c r="E603" s="51"/>
      <c r="F603" s="12"/>
      <c r="G603" s="12"/>
      <c r="H603" s="12"/>
      <c r="I603" s="12"/>
      <c r="J603" s="12"/>
      <c r="K603" s="12"/>
      <c r="L603" s="12"/>
      <c r="M603" s="12"/>
      <c r="N603" s="12"/>
      <c r="O603" s="13"/>
    </row>
    <row r="604" spans="1:15" s="1" customFormat="1">
      <c r="A604" s="1">
        <v>8</v>
      </c>
      <c r="C604" s="41">
        <f>IF(C580=6,1,IF(C579=5,4,IF(C578=4,0,0)))</f>
        <v>0</v>
      </c>
      <c r="D604" s="42" t="str">
        <f>IF(C604&gt;0,VLOOKUP(C604,C575:E580,2,FALSE),"")</f>
        <v/>
      </c>
      <c r="E604" s="43" t="str">
        <f>IF(C604&gt;0,VLOOKUP(C604,C575:E580,3,FALSE),"")</f>
        <v/>
      </c>
      <c r="F604" s="5"/>
      <c r="G604" s="6"/>
      <c r="H604" s="6"/>
      <c r="I604" s="6"/>
      <c r="J604" s="6"/>
      <c r="K604" s="6"/>
      <c r="L604" s="6"/>
      <c r="M604" s="6"/>
      <c r="N604" s="6"/>
      <c r="O604" s="7"/>
    </row>
    <row r="605" spans="1:15" s="1" customFormat="1">
      <c r="C605" s="44">
        <f>IF(C580=6,4,IF(C579=5,1,IF(C578=4,0,0)))</f>
        <v>0</v>
      </c>
      <c r="D605" s="45" t="str">
        <f>IF(C605&gt;0,VLOOKUP(C605,C575:E580,2,FALSE),"")</f>
        <v/>
      </c>
      <c r="E605" s="46" t="str">
        <f>IF(C605&gt;0,VLOOKUP(C605,C575:E580,3,FALSE),"")</f>
        <v/>
      </c>
      <c r="F605" s="8"/>
      <c r="G605" s="9"/>
      <c r="H605" s="9"/>
      <c r="I605" s="9"/>
      <c r="J605" s="9"/>
      <c r="K605" s="9"/>
      <c r="L605" s="9"/>
      <c r="M605" s="9"/>
      <c r="N605" s="9"/>
      <c r="O605" s="10"/>
    </row>
    <row r="606" spans="1:15" s="11" customFormat="1" ht="10.5">
      <c r="C606" s="49"/>
      <c r="D606" s="50"/>
      <c r="E606" s="51"/>
      <c r="F606" s="12"/>
      <c r="G606" s="12"/>
      <c r="H606" s="12"/>
      <c r="I606" s="12"/>
      <c r="J606" s="12"/>
      <c r="K606" s="12"/>
      <c r="L606" s="12"/>
      <c r="M606" s="12"/>
      <c r="N606" s="12"/>
      <c r="O606" s="13"/>
    </row>
    <row r="607" spans="1:15" s="1" customFormat="1">
      <c r="A607" s="1">
        <v>9</v>
      </c>
      <c r="C607" s="41">
        <f>IF(C580=6,5,IF(C579=5,3,IF(C578=4,0,0)))</f>
        <v>0</v>
      </c>
      <c r="D607" s="42" t="str">
        <f>IF(C607&gt;0,VLOOKUP(C607,C575:E580,2,FALSE),"")</f>
        <v/>
      </c>
      <c r="E607" s="43" t="str">
        <f>IF(C607&gt;0,VLOOKUP(C607,C575:E580,3,FALSE),"")</f>
        <v/>
      </c>
      <c r="F607" s="5"/>
      <c r="G607" s="6"/>
      <c r="H607" s="6"/>
      <c r="I607" s="6"/>
      <c r="J607" s="6"/>
      <c r="K607" s="6"/>
      <c r="L607" s="6"/>
      <c r="M607" s="6"/>
      <c r="N607" s="6"/>
      <c r="O607" s="7"/>
    </row>
    <row r="608" spans="1:15" s="1" customFormat="1">
      <c r="C608" s="44">
        <f>IF(C580=6,3,IF(C579=5,5,IF(C578=4,0,0)))</f>
        <v>0</v>
      </c>
      <c r="D608" s="45" t="str">
        <f>IF(C608&gt;0,VLOOKUP(C608,C575:E580,2,FALSE),"")</f>
        <v/>
      </c>
      <c r="E608" s="46" t="str">
        <f>IF(C608&gt;0,VLOOKUP(C608,C575:E580,3,FALSE),"")</f>
        <v/>
      </c>
      <c r="F608" s="8"/>
      <c r="G608" s="9"/>
      <c r="H608" s="9"/>
      <c r="I608" s="9"/>
      <c r="J608" s="9"/>
      <c r="K608" s="9"/>
      <c r="L608" s="9"/>
      <c r="M608" s="9"/>
      <c r="N608" s="9"/>
      <c r="O608" s="10"/>
    </row>
    <row r="609" spans="1:15" s="11" customFormat="1" ht="10.5">
      <c r="C609" s="49"/>
      <c r="D609" s="50"/>
      <c r="E609" s="51"/>
      <c r="F609" s="12"/>
      <c r="G609" s="12"/>
      <c r="H609" s="12"/>
      <c r="I609" s="12"/>
      <c r="J609" s="12"/>
      <c r="K609" s="12"/>
      <c r="L609" s="12"/>
      <c r="M609" s="12"/>
      <c r="N609" s="12"/>
      <c r="O609" s="13"/>
    </row>
    <row r="610" spans="1:15" s="1" customFormat="1">
      <c r="A610" s="1">
        <v>10</v>
      </c>
      <c r="C610" s="41">
        <f>IF(C580=6,1,IF(C579=5,4,IF(C578=4,0,0)))</f>
        <v>0</v>
      </c>
      <c r="D610" s="42" t="str">
        <f>IF(C610&gt;0,VLOOKUP(C610,C575:E580,2,FALSE),"")</f>
        <v/>
      </c>
      <c r="E610" s="43" t="str">
        <f>IF(C610&gt;0,VLOOKUP(C610,C575:E580,3,FALSE),"")</f>
        <v/>
      </c>
      <c r="F610" s="5"/>
      <c r="G610" s="6"/>
      <c r="H610" s="6"/>
      <c r="I610" s="6"/>
      <c r="J610" s="6"/>
      <c r="K610" s="6"/>
      <c r="L610" s="6"/>
      <c r="M610" s="6"/>
      <c r="N610" s="6"/>
      <c r="O610" s="7"/>
    </row>
    <row r="611" spans="1:15" s="1" customFormat="1">
      <c r="C611" s="44">
        <f>IF(C580=6,6,IF(C579=5,2,IF(C578=4,0,0)))</f>
        <v>0</v>
      </c>
      <c r="D611" s="45" t="str">
        <f>IF(C611&gt;0,VLOOKUP(C611,C575:E580,2,FALSE),"")</f>
        <v/>
      </c>
      <c r="E611" s="46" t="str">
        <f>IF(C611&gt;0,VLOOKUP(C611,C575:E580,3,FALSE),"")</f>
        <v/>
      </c>
      <c r="F611" s="8"/>
      <c r="G611" s="9"/>
      <c r="H611" s="9"/>
      <c r="I611" s="9"/>
      <c r="J611" s="9"/>
      <c r="K611" s="9"/>
      <c r="L611" s="9"/>
      <c r="M611" s="9"/>
      <c r="N611" s="9"/>
      <c r="O611" s="10"/>
    </row>
    <row r="612" spans="1:15" s="11" customFormat="1" ht="10.5">
      <c r="C612" s="49"/>
      <c r="D612" s="50"/>
      <c r="E612" s="51"/>
      <c r="F612" s="12"/>
      <c r="G612" s="12"/>
      <c r="H612" s="12"/>
      <c r="I612" s="12"/>
      <c r="J612" s="12"/>
      <c r="K612" s="12"/>
      <c r="L612" s="12"/>
      <c r="M612" s="12"/>
      <c r="N612" s="12"/>
      <c r="O612" s="13"/>
    </row>
    <row r="613" spans="1:15" s="1" customFormat="1">
      <c r="A613" s="1">
        <v>11</v>
      </c>
      <c r="C613" s="41">
        <f>IF(C580=6,4,0)</f>
        <v>0</v>
      </c>
      <c r="D613" s="42" t="str">
        <f>IF(C613&gt;0,VLOOKUP(C613,C575:E580,2,FALSE),"")</f>
        <v/>
      </c>
      <c r="E613" s="43" t="str">
        <f>IF(C613&gt;0,VLOOKUP(C613,C575:E580,3,FALSE),"")</f>
        <v/>
      </c>
      <c r="F613" s="5"/>
      <c r="G613" s="6"/>
      <c r="H613" s="6"/>
      <c r="I613" s="6"/>
      <c r="J613" s="6"/>
      <c r="K613" s="6"/>
      <c r="L613" s="6"/>
      <c r="M613" s="6"/>
      <c r="N613" s="6"/>
      <c r="O613" s="7"/>
    </row>
    <row r="614" spans="1:15" s="1" customFormat="1">
      <c r="C614" s="44">
        <f>IF(C580=6,2,0)</f>
        <v>0</v>
      </c>
      <c r="D614" s="45" t="str">
        <f>IF(C614&gt;0,VLOOKUP(C614,C575:E580,2,FALSE),"")</f>
        <v/>
      </c>
      <c r="E614" s="46" t="str">
        <f>IF(C614&gt;0,VLOOKUP(C614,C575:E580,3,FALSE),"")</f>
        <v/>
      </c>
      <c r="F614" s="8"/>
      <c r="G614" s="9"/>
      <c r="H614" s="9"/>
      <c r="I614" s="9"/>
      <c r="J614" s="9"/>
      <c r="K614" s="9"/>
      <c r="L614" s="9"/>
      <c r="M614" s="9"/>
      <c r="N614" s="9"/>
      <c r="O614" s="10"/>
    </row>
    <row r="615" spans="1:15" s="11" customFormat="1" ht="10.5">
      <c r="C615" s="49"/>
      <c r="D615" s="50"/>
      <c r="E615" s="51"/>
      <c r="F615" s="12"/>
      <c r="G615" s="12"/>
      <c r="H615" s="12"/>
      <c r="I615" s="12"/>
      <c r="J615" s="12"/>
      <c r="K615" s="12"/>
      <c r="L615" s="12"/>
      <c r="M615" s="12"/>
      <c r="N615" s="12"/>
      <c r="O615" s="13"/>
    </row>
    <row r="616" spans="1:15" s="1" customFormat="1">
      <c r="A616" s="1">
        <v>12</v>
      </c>
      <c r="C616" s="41">
        <f>IF(C580=6,3,0)</f>
        <v>0</v>
      </c>
      <c r="D616" s="42" t="str">
        <f>IF(C616&gt;0,VLOOKUP(C616,C575:E580,2,FALSE),"")</f>
        <v/>
      </c>
      <c r="E616" s="43" t="str">
        <f>IF(C616&gt;0,VLOOKUP(C616,C575:E580,3,FALSE),"")</f>
        <v/>
      </c>
      <c r="F616" s="5"/>
      <c r="G616" s="6"/>
      <c r="H616" s="6"/>
      <c r="I616" s="6"/>
      <c r="J616" s="6"/>
      <c r="K616" s="6"/>
      <c r="L616" s="6"/>
      <c r="M616" s="6"/>
      <c r="N616" s="6"/>
      <c r="O616" s="7"/>
    </row>
    <row r="617" spans="1:15" s="1" customFormat="1" ht="13.5" customHeight="1">
      <c r="C617" s="44">
        <f>IF(C580=6,6,0)</f>
        <v>0</v>
      </c>
      <c r="D617" s="45" t="str">
        <f>IF(C617&gt;0,VLOOKUP(C617,C575:E580,2,FALSE),"")</f>
        <v/>
      </c>
      <c r="E617" s="46" t="str">
        <f>IF(C617&gt;0,VLOOKUP(C617,C575:E580,3,FALSE),"")</f>
        <v/>
      </c>
      <c r="F617" s="8"/>
      <c r="G617" s="9"/>
      <c r="H617" s="9"/>
      <c r="I617" s="9"/>
      <c r="J617" s="9"/>
      <c r="K617" s="9"/>
      <c r="L617" s="9"/>
      <c r="M617" s="9"/>
      <c r="N617" s="9"/>
      <c r="O617" s="10"/>
    </row>
    <row r="618" spans="1:15" s="11" customFormat="1" ht="10.5">
      <c r="C618" s="49"/>
      <c r="D618" s="50"/>
      <c r="E618" s="51"/>
      <c r="F618" s="12"/>
      <c r="G618" s="12"/>
      <c r="H618" s="12"/>
      <c r="I618" s="12"/>
      <c r="J618" s="12"/>
      <c r="K618" s="12"/>
      <c r="L618" s="12"/>
      <c r="M618" s="12"/>
      <c r="N618" s="12"/>
      <c r="O618" s="13"/>
    </row>
    <row r="619" spans="1:15" s="1" customFormat="1">
      <c r="A619" s="1">
        <v>13</v>
      </c>
      <c r="C619" s="41">
        <f>IF(C580=6,5,0)</f>
        <v>0</v>
      </c>
      <c r="D619" s="42" t="str">
        <f>IF(C619&gt;0,VLOOKUP(C619,C575:E580,2,FALSE),"")</f>
        <v/>
      </c>
      <c r="E619" s="43" t="str">
        <f>IF(C619&gt;0,VLOOKUP(C619,C575:E580,3,FALSE),"")</f>
        <v/>
      </c>
      <c r="F619" s="5"/>
      <c r="G619" s="6"/>
      <c r="H619" s="6"/>
      <c r="I619" s="6"/>
      <c r="J619" s="6"/>
      <c r="K619" s="6"/>
      <c r="L619" s="6"/>
      <c r="M619" s="6"/>
      <c r="N619" s="6"/>
      <c r="O619" s="7"/>
    </row>
    <row r="620" spans="1:15" s="1" customFormat="1">
      <c r="C620" s="44">
        <f>IF(C580=6,1,0)</f>
        <v>0</v>
      </c>
      <c r="D620" s="45" t="str">
        <f>IF(C620&gt;0,VLOOKUP(C620,C575:E580,2,FALSE),"")</f>
        <v/>
      </c>
      <c r="E620" s="46" t="str">
        <f>IF(C620&gt;0,VLOOKUP(C620,C575:E580,3,FALSE),"")</f>
        <v/>
      </c>
      <c r="F620" s="8"/>
      <c r="G620" s="9"/>
      <c r="H620" s="9"/>
      <c r="I620" s="9"/>
      <c r="J620" s="9"/>
      <c r="K620" s="9"/>
      <c r="L620" s="9"/>
      <c r="M620" s="9"/>
      <c r="N620" s="9"/>
      <c r="O620" s="10"/>
    </row>
    <row r="621" spans="1:15" s="11" customFormat="1" ht="10.5">
      <c r="C621" s="49"/>
      <c r="D621" s="50"/>
      <c r="E621" s="51"/>
      <c r="F621" s="12"/>
      <c r="G621" s="12"/>
      <c r="H621" s="12"/>
      <c r="I621" s="12"/>
      <c r="J621" s="12"/>
      <c r="K621" s="12"/>
      <c r="L621" s="12"/>
      <c r="M621" s="12"/>
      <c r="N621" s="12"/>
      <c r="O621" s="13"/>
    </row>
    <row r="622" spans="1:15" s="1" customFormat="1">
      <c r="A622" s="1">
        <v>14</v>
      </c>
      <c r="C622" s="41">
        <f>IF(C580=6,3,0)</f>
        <v>0</v>
      </c>
      <c r="D622" s="42" t="str">
        <f>IF(C622&gt;0,VLOOKUP(C622,C575:E580,2,FALSE),"")</f>
        <v/>
      </c>
      <c r="E622" s="43" t="str">
        <f>IF(C622&gt;0,VLOOKUP(C622,C575:E580,3,FALSE),"")</f>
        <v/>
      </c>
      <c r="F622" s="5"/>
      <c r="G622" s="6"/>
      <c r="H622" s="6"/>
      <c r="I622" s="6"/>
      <c r="J622" s="6"/>
      <c r="K622" s="6"/>
      <c r="L622" s="6"/>
      <c r="M622" s="6"/>
      <c r="N622" s="6"/>
      <c r="O622" s="7"/>
    </row>
    <row r="623" spans="1:15" s="1" customFormat="1">
      <c r="C623" s="44">
        <f>IF(C580=6,4,0)</f>
        <v>0</v>
      </c>
      <c r="D623" s="45" t="str">
        <f>IF(C623&gt;0,VLOOKUP(C623,C575:E580,2,FALSE),"")</f>
        <v/>
      </c>
      <c r="E623" s="46" t="str">
        <f>IF(C623&gt;0,VLOOKUP(C623,C575:E580,3,FALSE),"")</f>
        <v/>
      </c>
      <c r="F623" s="8"/>
      <c r="G623" s="9"/>
      <c r="H623" s="9"/>
      <c r="I623" s="9"/>
      <c r="J623" s="9"/>
      <c r="K623" s="9"/>
      <c r="L623" s="9"/>
      <c r="M623" s="9"/>
      <c r="N623" s="9"/>
      <c r="O623" s="10"/>
    </row>
    <row r="624" spans="1:15" s="11" customFormat="1" ht="10.5">
      <c r="C624" s="49"/>
      <c r="D624" s="50"/>
      <c r="E624" s="51"/>
      <c r="F624" s="12"/>
      <c r="G624" s="12"/>
      <c r="H624" s="12"/>
      <c r="I624" s="12"/>
      <c r="J624" s="12"/>
      <c r="K624" s="12"/>
      <c r="L624" s="12"/>
      <c r="M624" s="12"/>
      <c r="N624" s="12"/>
      <c r="O624" s="13"/>
    </row>
    <row r="625" spans="1:16" s="1" customFormat="1">
      <c r="A625" s="1">
        <v>15</v>
      </c>
      <c r="C625" s="41">
        <f>IF(C580=6,6,0)</f>
        <v>0</v>
      </c>
      <c r="D625" s="42" t="str">
        <f>IF(C625&gt;0,VLOOKUP(C625,C575:E580,2,FALSE),"")</f>
        <v/>
      </c>
      <c r="E625" s="43" t="str">
        <f>IF(C625&gt;0,VLOOKUP(C625,C575:E580,3,FALSE),"")</f>
        <v/>
      </c>
      <c r="F625" s="5"/>
      <c r="G625" s="6"/>
      <c r="H625" s="6"/>
      <c r="I625" s="6"/>
      <c r="J625" s="6"/>
      <c r="K625" s="6"/>
      <c r="L625" s="6"/>
      <c r="M625" s="6"/>
      <c r="N625" s="6"/>
      <c r="O625" s="7"/>
    </row>
    <row r="626" spans="1:16" s="1" customFormat="1">
      <c r="C626" s="44">
        <f>IF(C580=6,2,0)</f>
        <v>0</v>
      </c>
      <c r="D626" s="45" t="str">
        <f>IF(C626&gt;0,VLOOKUP(C626,C575:E580,2,FALSE),"")</f>
        <v/>
      </c>
      <c r="E626" s="46" t="str">
        <f>IF(C626&gt;0,VLOOKUP(C626,C575:E580,3,FALSE),"")</f>
        <v/>
      </c>
      <c r="F626" s="8"/>
      <c r="G626" s="9"/>
      <c r="H626" s="9"/>
      <c r="I626" s="9"/>
      <c r="J626" s="9"/>
      <c r="K626" s="9"/>
      <c r="L626" s="9"/>
      <c r="M626" s="9"/>
      <c r="N626" s="9"/>
      <c r="O626" s="10"/>
    </row>
    <row r="627" spans="1:16" s="104" customFormat="1" ht="10.5">
      <c r="C627" s="107"/>
      <c r="D627" s="52"/>
      <c r="E627" s="53"/>
      <c r="F627" s="108"/>
      <c r="G627" s="108"/>
      <c r="H627" s="108"/>
      <c r="I627" s="108"/>
      <c r="J627" s="108"/>
      <c r="K627" s="108"/>
      <c r="L627" s="108"/>
      <c r="M627" s="108"/>
      <c r="N627" s="108"/>
      <c r="O627" s="109"/>
    </row>
    <row r="628" spans="1:16" s="57" customFormat="1" ht="17.25">
      <c r="A628" s="321" t="str">
        <f>名簿!$A$1</f>
        <v>第9回川本杯はしまモアフェンシング大会</v>
      </c>
      <c r="B628" s="321"/>
      <c r="C628" s="321"/>
      <c r="D628" s="321"/>
      <c r="E628" s="321"/>
      <c r="F628" s="321"/>
      <c r="G628" s="321"/>
      <c r="H628" s="321"/>
      <c r="I628" s="321"/>
      <c r="J628" s="321"/>
      <c r="K628" s="268" t="s">
        <v>72</v>
      </c>
      <c r="L628" s="322" t="s">
        <v>73</v>
      </c>
      <c r="M628" s="322"/>
      <c r="N628" s="322"/>
      <c r="O628" s="323"/>
    </row>
    <row r="629" spans="1:16" s="58" customFormat="1" ht="14.25">
      <c r="A629" s="318" t="str">
        <f>"　"&amp;名簿!$A$2</f>
        <v>　中学男子</v>
      </c>
      <c r="B629" s="318"/>
      <c r="C629" s="318"/>
      <c r="D629" s="318"/>
      <c r="E629" s="318"/>
      <c r="F629" s="318"/>
      <c r="G629" s="318"/>
      <c r="H629" s="318"/>
      <c r="I629" s="318"/>
      <c r="J629" s="318"/>
      <c r="K629" s="269"/>
      <c r="L629" s="319" t="s">
        <v>74</v>
      </c>
      <c r="M629" s="319"/>
      <c r="N629" s="319"/>
      <c r="O629" s="320"/>
    </row>
    <row r="630" spans="1:16" s="58" customFormat="1" ht="14.25">
      <c r="A630" s="314" t="str">
        <f>"　　"&amp;名簿!$A$3</f>
        <v>　　1回戦</v>
      </c>
      <c r="B630" s="314"/>
      <c r="C630" s="314"/>
      <c r="D630" s="314"/>
      <c r="E630" s="314"/>
      <c r="K630" s="315">
        <f>名簿!$E$3</f>
        <v>43184</v>
      </c>
      <c r="L630" s="315"/>
      <c r="M630" s="315"/>
      <c r="N630" s="315"/>
      <c r="O630" s="315"/>
    </row>
    <row r="631" spans="1:16">
      <c r="A631" s="59" t="s">
        <v>57</v>
      </c>
      <c r="B631" s="60" t="s">
        <v>13</v>
      </c>
      <c r="C631" s="61" t="s">
        <v>0</v>
      </c>
      <c r="D631" s="62" t="s">
        <v>7</v>
      </c>
      <c r="E631" s="63" t="s">
        <v>8</v>
      </c>
      <c r="F631" s="64">
        <v>1</v>
      </c>
      <c r="G631" s="65">
        <v>2</v>
      </c>
      <c r="H631" s="65">
        <v>3</v>
      </c>
      <c r="I631" s="65">
        <v>4</v>
      </c>
      <c r="J631" s="65">
        <v>5</v>
      </c>
      <c r="K631" s="66">
        <v>6</v>
      </c>
      <c r="L631" s="67" t="s">
        <v>58</v>
      </c>
      <c r="M631" s="68" t="s">
        <v>59</v>
      </c>
      <c r="N631" s="316" t="s">
        <v>6</v>
      </c>
      <c r="O631" s="317"/>
      <c r="P631" s="69"/>
    </row>
    <row r="632" spans="1:16" ht="18" customHeight="1">
      <c r="A632" s="71">
        <f>'予選 Ｐ'!A71</f>
        <v>12</v>
      </c>
      <c r="B632" s="72">
        <f>'予選 Ｐ'!B71</f>
        <v>0</v>
      </c>
      <c r="C632" s="73" t="str">
        <f>'予選 Ｐ'!C71</f>
        <v/>
      </c>
      <c r="D632" s="34" t="str">
        <f>'予選 Ｐ'!E71</f>
        <v/>
      </c>
      <c r="E632" s="35" t="str">
        <f>'予選 Ｐ'!F71</f>
        <v/>
      </c>
      <c r="F632" s="74"/>
      <c r="G632" s="75"/>
      <c r="H632" s="75"/>
      <c r="I632" s="75"/>
      <c r="J632" s="75"/>
      <c r="K632" s="76"/>
      <c r="L632" s="77"/>
      <c r="M632" s="78"/>
      <c r="N632" s="79"/>
      <c r="O632" s="80"/>
      <c r="P632" s="81"/>
    </row>
    <row r="633" spans="1:16" ht="18" customHeight="1">
      <c r="A633" s="82" t="str">
        <f>'予選 Ｐ'!A72</f>
        <v/>
      </c>
      <c r="B633" s="83">
        <f>'予選 Ｐ'!B72</f>
        <v>0</v>
      </c>
      <c r="C633" s="84" t="str">
        <f>'予選 Ｐ'!C72</f>
        <v/>
      </c>
      <c r="D633" s="36" t="str">
        <f>'予選 Ｐ'!E72</f>
        <v/>
      </c>
      <c r="E633" s="35" t="str">
        <f>'予選 Ｐ'!F72</f>
        <v/>
      </c>
      <c r="F633" s="85"/>
      <c r="G633" s="86"/>
      <c r="H633" s="87"/>
      <c r="I633" s="87"/>
      <c r="J633" s="87"/>
      <c r="K633" s="88"/>
      <c r="L633" s="89"/>
      <c r="M633" s="90"/>
      <c r="N633" s="91"/>
      <c r="O633" s="92"/>
      <c r="P633" s="81"/>
    </row>
    <row r="634" spans="1:16" ht="18" customHeight="1">
      <c r="A634" s="82" t="str">
        <f>'予選 Ｐ'!A73</f>
        <v/>
      </c>
      <c r="B634" s="83">
        <f>'予選 Ｐ'!B73</f>
        <v>0</v>
      </c>
      <c r="C634" s="84" t="str">
        <f>'予選 Ｐ'!C73</f>
        <v/>
      </c>
      <c r="D634" s="36" t="str">
        <f>'予選 Ｐ'!E73</f>
        <v/>
      </c>
      <c r="E634" s="35" t="str">
        <f>'予選 Ｐ'!F73</f>
        <v/>
      </c>
      <c r="F634" s="85"/>
      <c r="G634" s="87"/>
      <c r="H634" s="86"/>
      <c r="I634" s="87"/>
      <c r="J634" s="87"/>
      <c r="K634" s="88"/>
      <c r="L634" s="89"/>
      <c r="M634" s="90"/>
      <c r="N634" s="91"/>
      <c r="O634" s="92"/>
      <c r="P634" s="81"/>
    </row>
    <row r="635" spans="1:16" ht="18" customHeight="1">
      <c r="A635" s="82" t="str">
        <f>'予選 Ｐ'!A74</f>
        <v/>
      </c>
      <c r="B635" s="83" t="str">
        <f>IF('予選 Ｐ'!B74="","",'予選 Ｐ'!B74)</f>
        <v/>
      </c>
      <c r="C635" s="84" t="str">
        <f>'予選 Ｐ'!C74</f>
        <v/>
      </c>
      <c r="D635" s="36" t="str">
        <f>'予選 Ｐ'!E74</f>
        <v/>
      </c>
      <c r="E635" s="35" t="str">
        <f>'予選 Ｐ'!F74</f>
        <v/>
      </c>
      <c r="F635" s="85"/>
      <c r="G635" s="87"/>
      <c r="H635" s="87"/>
      <c r="I635" s="86"/>
      <c r="J635" s="87"/>
      <c r="K635" s="88"/>
      <c r="L635" s="89"/>
      <c r="M635" s="90"/>
      <c r="N635" s="91"/>
      <c r="O635" s="92"/>
      <c r="P635" s="81"/>
    </row>
    <row r="636" spans="1:16" ht="18" customHeight="1">
      <c r="A636" s="82" t="str">
        <f>'予選 Ｐ'!A75</f>
        <v/>
      </c>
      <c r="B636" s="83" t="str">
        <f>IF('予選 Ｐ'!B75="","",'予選 Ｐ'!B75)</f>
        <v/>
      </c>
      <c r="C636" s="84" t="str">
        <f>'予選 Ｐ'!C75</f>
        <v/>
      </c>
      <c r="D636" s="36" t="str">
        <f>'予選 Ｐ'!E75</f>
        <v/>
      </c>
      <c r="E636" s="35" t="str">
        <f>'予選 Ｐ'!F75</f>
        <v/>
      </c>
      <c r="F636" s="85"/>
      <c r="G636" s="87"/>
      <c r="H636" s="87"/>
      <c r="I636" s="87"/>
      <c r="J636" s="86"/>
      <c r="K636" s="88"/>
      <c r="L636" s="89"/>
      <c r="M636" s="90"/>
      <c r="N636" s="91"/>
      <c r="O636" s="92"/>
      <c r="P636" s="81"/>
    </row>
    <row r="637" spans="1:16" ht="18" customHeight="1">
      <c r="A637" s="93" t="str">
        <f>'予選 Ｐ'!A76</f>
        <v/>
      </c>
      <c r="B637" s="94" t="str">
        <f>IF('予選 Ｐ'!B76="","",'予選 Ｐ'!B76)</f>
        <v/>
      </c>
      <c r="C637" s="95" t="str">
        <f>'予選 Ｐ'!C76</f>
        <v/>
      </c>
      <c r="D637" s="37" t="str">
        <f>'予選 Ｐ'!E76</f>
        <v/>
      </c>
      <c r="E637" s="96" t="str">
        <f>'予選 Ｐ'!F76</f>
        <v/>
      </c>
      <c r="F637" s="97"/>
      <c r="G637" s="98"/>
      <c r="H637" s="98"/>
      <c r="I637" s="98"/>
      <c r="J637" s="98"/>
      <c r="K637" s="99"/>
      <c r="L637" s="100"/>
      <c r="M637" s="101"/>
      <c r="N637" s="102"/>
      <c r="O637" s="103"/>
      <c r="P637" s="81"/>
    </row>
    <row r="638" spans="1:16" s="104" customFormat="1" ht="10.5">
      <c r="D638" s="105"/>
      <c r="E638" s="106"/>
    </row>
    <row r="639" spans="1:16" s="1" customFormat="1">
      <c r="C639" s="38" t="s">
        <v>37</v>
      </c>
      <c r="D639" s="39" t="s">
        <v>16</v>
      </c>
      <c r="E639" s="40" t="s">
        <v>8</v>
      </c>
      <c r="F639" s="2">
        <v>1</v>
      </c>
      <c r="G639" s="3">
        <v>2</v>
      </c>
      <c r="H639" s="3">
        <v>3</v>
      </c>
      <c r="I639" s="3">
        <v>4</v>
      </c>
      <c r="J639" s="3">
        <v>5</v>
      </c>
      <c r="K639" s="3">
        <v>6</v>
      </c>
      <c r="L639" s="3">
        <v>7</v>
      </c>
      <c r="M639" s="3">
        <v>8</v>
      </c>
      <c r="N639" s="3">
        <v>9</v>
      </c>
      <c r="O639" s="4" t="s">
        <v>5</v>
      </c>
    </row>
    <row r="640" spans="1:16" s="1" customFormat="1">
      <c r="A640" s="1">
        <v>1</v>
      </c>
      <c r="C640" s="41">
        <v>1</v>
      </c>
      <c r="D640" s="42" t="e">
        <f>IF(C640&gt;0,VLOOKUP(C640,C632:E637,2,FALSE),"")</f>
        <v>#N/A</v>
      </c>
      <c r="E640" s="43" t="e">
        <f>IF(C640&gt;0,VLOOKUP(C640,C632:E637,3,FALSE),"")</f>
        <v>#N/A</v>
      </c>
      <c r="F640" s="5"/>
      <c r="G640" s="6"/>
      <c r="H640" s="6"/>
      <c r="I640" s="6"/>
      <c r="J640" s="6"/>
      <c r="K640" s="6"/>
      <c r="L640" s="6"/>
      <c r="M640" s="6"/>
      <c r="N640" s="6"/>
      <c r="O640" s="7"/>
    </row>
    <row r="641" spans="1:15" s="1" customFormat="1">
      <c r="C641" s="44" t="b">
        <f>IF(C637=6,2,IF(C636=5,2,IF(C635=4,4,IF(C634=3,3))))</f>
        <v>0</v>
      </c>
      <c r="D641" s="45" t="e">
        <f>IF(C641&gt;0,VLOOKUP(C641,C632:E637,2,FALSE),"")</f>
        <v>#N/A</v>
      </c>
      <c r="E641" s="46" t="e">
        <f>IF(C641&gt;0,VLOOKUP(C641,C632:E637,3,FALSE),"")</f>
        <v>#N/A</v>
      </c>
      <c r="F641" s="8"/>
      <c r="G641" s="9"/>
      <c r="H641" s="9"/>
      <c r="I641" s="9"/>
      <c r="J641" s="9"/>
      <c r="K641" s="9"/>
      <c r="L641" s="9"/>
      <c r="M641" s="9"/>
      <c r="N641" s="9"/>
      <c r="O641" s="10"/>
    </row>
    <row r="642" spans="1:15" s="11" customFormat="1" ht="10.5">
      <c r="D642" s="47"/>
      <c r="E642" s="48"/>
    </row>
    <row r="643" spans="1:15" s="1" customFormat="1">
      <c r="A643" s="1">
        <v>2</v>
      </c>
      <c r="C643" s="41" t="b">
        <f>IF(C637=6,4,IF(C636=5,3,IF(C635=4,2,IF(C634=3,2))))</f>
        <v>0</v>
      </c>
      <c r="D643" s="42" t="e">
        <f>IF(C643&gt;0,VLOOKUP(C643,C632:E637,2,FALSE),"")</f>
        <v>#N/A</v>
      </c>
      <c r="E643" s="43" t="e">
        <f>IF(C643&gt;0,VLOOKUP(C643,C632:E637,3,FALSE),"")</f>
        <v>#N/A</v>
      </c>
      <c r="F643" s="5"/>
      <c r="G643" s="6"/>
      <c r="H643" s="6"/>
      <c r="I643" s="6"/>
      <c r="J643" s="6"/>
      <c r="K643" s="6"/>
      <c r="L643" s="6"/>
      <c r="M643" s="6"/>
      <c r="N643" s="6"/>
      <c r="O643" s="7"/>
    </row>
    <row r="644" spans="1:15" s="1" customFormat="1">
      <c r="C644" s="44" t="b">
        <f>IF(C637=6,5,IF(C636=5,4,IF(C635=4,3,IF(C634=3,3))))</f>
        <v>0</v>
      </c>
      <c r="D644" s="45" t="e">
        <f>IF(C644&gt;0,VLOOKUP(C644,C632:E637,2,FALSE),"")</f>
        <v>#N/A</v>
      </c>
      <c r="E644" s="46" t="e">
        <f>IF(C644&gt;0,VLOOKUP(C644,C632:E637,3,FALSE),"")</f>
        <v>#N/A</v>
      </c>
      <c r="F644" s="8"/>
      <c r="G644" s="9"/>
      <c r="H644" s="9"/>
      <c r="I644" s="9"/>
      <c r="J644" s="9"/>
      <c r="K644" s="9"/>
      <c r="L644" s="9"/>
      <c r="M644" s="9"/>
      <c r="N644" s="9"/>
      <c r="O644" s="10"/>
    </row>
    <row r="645" spans="1:15" s="11" customFormat="1" ht="10.5">
      <c r="D645" s="47"/>
      <c r="E645" s="48"/>
    </row>
    <row r="646" spans="1:15" s="1" customFormat="1">
      <c r="A646" s="1">
        <v>3</v>
      </c>
      <c r="C646" s="41" t="b">
        <f>IF(C637=6,2,IF(C636=5,5,IF(C635=4,1,IF(C634=3,1))))</f>
        <v>0</v>
      </c>
      <c r="D646" s="42" t="e">
        <f>IF(C646&gt;0,VLOOKUP(C646,C632:E637,2,FALSE),"")</f>
        <v>#N/A</v>
      </c>
      <c r="E646" s="43" t="e">
        <f>IF(C646&gt;0,VLOOKUP(C646,C632:E637,3,FALSE),"")</f>
        <v>#N/A</v>
      </c>
      <c r="F646" s="5"/>
      <c r="G646" s="6"/>
      <c r="H646" s="6"/>
      <c r="I646" s="6"/>
      <c r="J646" s="6"/>
      <c r="K646" s="6"/>
      <c r="L646" s="6"/>
      <c r="M646" s="6"/>
      <c r="N646" s="6"/>
      <c r="O646" s="7"/>
    </row>
    <row r="647" spans="1:15" s="1" customFormat="1">
      <c r="C647" s="44" t="b">
        <f>IF(C637=6,3,IF(C636=5,1,IF(C635=4,3,IF(C634=3,2))))</f>
        <v>0</v>
      </c>
      <c r="D647" s="45" t="e">
        <f>IF(C647&gt;0,VLOOKUP(C647,C632:E637,2,FALSE),"")</f>
        <v>#N/A</v>
      </c>
      <c r="E647" s="46" t="e">
        <f>IF(C647&gt;0,VLOOKUP(C647,C632:E637,3,FALSE),"")</f>
        <v>#N/A</v>
      </c>
      <c r="F647" s="8"/>
      <c r="G647" s="9"/>
      <c r="H647" s="9"/>
      <c r="I647" s="9"/>
      <c r="J647" s="9"/>
      <c r="K647" s="9"/>
      <c r="L647" s="9"/>
      <c r="M647" s="9"/>
      <c r="N647" s="9"/>
      <c r="O647" s="10"/>
    </row>
    <row r="648" spans="1:15" s="11" customFormat="1" ht="10.5">
      <c r="C648" s="49"/>
      <c r="D648" s="50"/>
      <c r="E648" s="51"/>
      <c r="F648" s="12"/>
      <c r="G648" s="12"/>
      <c r="H648" s="12"/>
      <c r="I648" s="12"/>
      <c r="J648" s="12"/>
      <c r="K648" s="12"/>
      <c r="L648" s="12"/>
      <c r="M648" s="12"/>
      <c r="N648" s="12"/>
      <c r="O648" s="13"/>
    </row>
    <row r="649" spans="1:15" s="1" customFormat="1">
      <c r="A649" s="1">
        <v>4</v>
      </c>
      <c r="C649" s="41">
        <f>IF(C637=6,5,IF(C636=5,2,IF(C635=4,2,IF(C634=3,0,0))))</f>
        <v>0</v>
      </c>
      <c r="D649" s="42" t="str">
        <f>IF(C649&gt;0,VLOOKUP(C649,C632:E637,2,FALSE),"")</f>
        <v/>
      </c>
      <c r="E649" s="43" t="str">
        <f>IF(C649&gt;0,VLOOKUP(C649,C632:E637,3,FALSE),"")</f>
        <v/>
      </c>
      <c r="F649" s="5"/>
      <c r="G649" s="6"/>
      <c r="H649" s="6"/>
      <c r="I649" s="6"/>
      <c r="J649" s="6"/>
      <c r="K649" s="6"/>
      <c r="L649" s="6"/>
      <c r="M649" s="6"/>
      <c r="N649" s="6"/>
      <c r="O649" s="7"/>
    </row>
    <row r="650" spans="1:15" s="1" customFormat="1">
      <c r="C650" s="44">
        <f>IF(C637=6,6,IF(C636=5,3,IF(C635=4,4,IF(C634=3,0,0))))</f>
        <v>0</v>
      </c>
      <c r="D650" s="45" t="str">
        <f>IF(C650&gt;0,VLOOKUP(C650,C632:E637,2,FALSE),"")</f>
        <v/>
      </c>
      <c r="E650" s="46" t="str">
        <f>IF(C650&gt;0,VLOOKUP(C650,C632:E637,3,FALSE),"")</f>
        <v/>
      </c>
      <c r="F650" s="8"/>
      <c r="G650" s="9"/>
      <c r="H650" s="9"/>
      <c r="I650" s="9"/>
      <c r="J650" s="9"/>
      <c r="K650" s="9"/>
      <c r="L650" s="9"/>
      <c r="M650" s="9"/>
      <c r="N650" s="9"/>
      <c r="O650" s="10"/>
    </row>
    <row r="651" spans="1:15" s="11" customFormat="1" ht="10.5">
      <c r="C651" s="49"/>
      <c r="D651" s="50"/>
      <c r="E651" s="51"/>
      <c r="F651" s="12"/>
      <c r="G651" s="12"/>
      <c r="H651" s="12"/>
      <c r="I651" s="12"/>
      <c r="J651" s="12"/>
      <c r="K651" s="12"/>
      <c r="L651" s="12"/>
      <c r="M651" s="12"/>
      <c r="N651" s="12"/>
      <c r="O651" s="13"/>
    </row>
    <row r="652" spans="1:15" s="1" customFormat="1">
      <c r="A652" s="1">
        <v>5</v>
      </c>
      <c r="C652" s="41">
        <f>IF(C637=6,3,IF(C636=5,5,IF(C635=4,3,IF(C634=3,0,0))))</f>
        <v>0</v>
      </c>
      <c r="D652" s="42" t="str">
        <f>IF(C652&gt;0,VLOOKUP(C652,C632:E637,2,FALSE),"")</f>
        <v/>
      </c>
      <c r="E652" s="43" t="str">
        <f>IF(C652&gt;0,VLOOKUP(C652,C632:E637,3,FALSE),"")</f>
        <v/>
      </c>
      <c r="F652" s="5"/>
      <c r="G652" s="6"/>
      <c r="H652" s="6"/>
      <c r="I652" s="6"/>
      <c r="J652" s="6"/>
      <c r="K652" s="6"/>
      <c r="L652" s="6"/>
      <c r="M652" s="6"/>
      <c r="N652" s="6"/>
      <c r="O652" s="7"/>
    </row>
    <row r="653" spans="1:15" s="1" customFormat="1">
      <c r="C653" s="44">
        <f>IF(C637=6,1,IF(C636=5,4,IF(C635=4,4,IF(C634=3,0,0))))</f>
        <v>0</v>
      </c>
      <c r="D653" s="45" t="str">
        <f>IF(C653&gt;0,VLOOKUP(C653,C632:E637,2,FALSE),"")</f>
        <v/>
      </c>
      <c r="E653" s="46" t="str">
        <f>IF(C653&gt;0,VLOOKUP(C653,C632:E637,3,FALSE),"")</f>
        <v/>
      </c>
      <c r="F653" s="8"/>
      <c r="G653" s="9"/>
      <c r="H653" s="9"/>
      <c r="I653" s="9"/>
      <c r="J653" s="9"/>
      <c r="K653" s="9"/>
      <c r="L653" s="9"/>
      <c r="M653" s="9"/>
      <c r="N653" s="9"/>
      <c r="O653" s="10"/>
    </row>
    <row r="654" spans="1:15" s="11" customFormat="1" ht="10.5">
      <c r="C654" s="49"/>
      <c r="D654" s="50"/>
      <c r="E654" s="51"/>
      <c r="F654" s="12"/>
      <c r="G654" s="12"/>
      <c r="H654" s="12"/>
      <c r="I654" s="12"/>
      <c r="J654" s="12"/>
      <c r="K654" s="12"/>
      <c r="L654" s="12"/>
      <c r="M654" s="12"/>
      <c r="N654" s="12"/>
      <c r="O654" s="13"/>
    </row>
    <row r="655" spans="1:15" s="1" customFormat="1">
      <c r="A655" s="1">
        <v>6</v>
      </c>
      <c r="C655" s="41">
        <f>IF(C637=6,6,IF(C636=5,1,IF(C635=4,1,IF(C634=3,0,0))))</f>
        <v>0</v>
      </c>
      <c r="D655" s="42" t="str">
        <f>IF(C655&gt;0,VLOOKUP(C655,C632:E637,2,FALSE),"")</f>
        <v/>
      </c>
      <c r="E655" s="43" t="str">
        <f>IF(C655&gt;0,VLOOKUP(C655,C632:E637,3,FALSE),"")</f>
        <v/>
      </c>
      <c r="F655" s="5"/>
      <c r="G655" s="6"/>
      <c r="H655" s="6"/>
      <c r="I655" s="6"/>
      <c r="J655" s="6"/>
      <c r="K655" s="6"/>
      <c r="L655" s="6"/>
      <c r="M655" s="6"/>
      <c r="N655" s="6"/>
      <c r="O655" s="7"/>
    </row>
    <row r="656" spans="1:15" s="1" customFormat="1">
      <c r="C656" s="44">
        <f>IF(C637=6,4,IF(C636=5,3,IF(C635=4,2,IF(C634=3,0,0))))</f>
        <v>0</v>
      </c>
      <c r="D656" s="45" t="str">
        <f>IF(C656&gt;0,VLOOKUP(C656,C632:E637,2,FALSE),"")</f>
        <v/>
      </c>
      <c r="E656" s="46" t="str">
        <f>IF(C656&gt;0,VLOOKUP(C656,C632:E637,3,FALSE),"")</f>
        <v/>
      </c>
      <c r="F656" s="8"/>
      <c r="G656" s="9"/>
      <c r="H656" s="9"/>
      <c r="I656" s="9"/>
      <c r="J656" s="9"/>
      <c r="K656" s="9"/>
      <c r="L656" s="9"/>
      <c r="M656" s="9"/>
      <c r="N656" s="9"/>
      <c r="O656" s="10"/>
    </row>
    <row r="657" spans="1:15" s="11" customFormat="1" ht="10.5">
      <c r="C657" s="49"/>
      <c r="D657" s="50"/>
      <c r="E657" s="51"/>
      <c r="F657" s="12"/>
      <c r="G657" s="12"/>
      <c r="H657" s="12"/>
      <c r="I657" s="12"/>
      <c r="J657" s="12"/>
      <c r="K657" s="12"/>
      <c r="L657" s="12"/>
      <c r="M657" s="12"/>
      <c r="N657" s="12"/>
      <c r="O657" s="13"/>
    </row>
    <row r="658" spans="1:15" s="1" customFormat="1">
      <c r="A658" s="1">
        <v>7</v>
      </c>
      <c r="C658" s="41">
        <f>IF(C637=6,2,IF(C636=5,2,IF(C635=4,0,0)))</f>
        <v>0</v>
      </c>
      <c r="D658" s="42" t="str">
        <f>IF(C658&gt;0,VLOOKUP(C658,C632:E637,2,FALSE),"")</f>
        <v/>
      </c>
      <c r="E658" s="43" t="str">
        <f>IF(C658&gt;0,VLOOKUP(C658,C632:E637,3,FALSE),"")</f>
        <v/>
      </c>
      <c r="F658" s="5"/>
      <c r="G658" s="6"/>
      <c r="H658" s="6"/>
      <c r="I658" s="6"/>
      <c r="J658" s="6"/>
      <c r="K658" s="6"/>
      <c r="L658" s="6"/>
      <c r="M658" s="6"/>
      <c r="N658" s="6"/>
      <c r="O658" s="7"/>
    </row>
    <row r="659" spans="1:15" s="1" customFormat="1">
      <c r="C659" s="44">
        <f>IF(C637=6,5,IF(C636=5,5,IF(C635=4,0,0)))</f>
        <v>0</v>
      </c>
      <c r="D659" s="45" t="str">
        <f>IF(C659&gt;0,VLOOKUP(C659,C632:E637,2,FALSE),"")</f>
        <v/>
      </c>
      <c r="E659" s="46" t="str">
        <f>IF(C659&gt;0,VLOOKUP(C659,C632:E637,3,FALSE),"")</f>
        <v/>
      </c>
      <c r="F659" s="8"/>
      <c r="G659" s="9"/>
      <c r="H659" s="9"/>
      <c r="I659" s="9"/>
      <c r="J659" s="9"/>
      <c r="K659" s="9"/>
      <c r="L659" s="9"/>
      <c r="M659" s="9"/>
      <c r="N659" s="9"/>
      <c r="O659" s="10"/>
    </row>
    <row r="660" spans="1:15" s="11" customFormat="1" ht="10.5">
      <c r="C660" s="49"/>
      <c r="D660" s="50"/>
      <c r="E660" s="51"/>
      <c r="F660" s="12"/>
      <c r="G660" s="12"/>
      <c r="H660" s="12"/>
      <c r="I660" s="12"/>
      <c r="J660" s="12"/>
      <c r="K660" s="12"/>
      <c r="L660" s="12"/>
      <c r="M660" s="12"/>
      <c r="N660" s="12"/>
      <c r="O660" s="13"/>
    </row>
    <row r="661" spans="1:15" s="1" customFormat="1">
      <c r="A661" s="1">
        <v>8</v>
      </c>
      <c r="C661" s="41">
        <f>IF(C637=6,1,IF(C636=5,4,IF(C635=4,0,0)))</f>
        <v>0</v>
      </c>
      <c r="D661" s="42" t="str">
        <f>IF(C661&gt;0,VLOOKUP(C661,C632:E637,2,FALSE),"")</f>
        <v/>
      </c>
      <c r="E661" s="43" t="str">
        <f>IF(C661&gt;0,VLOOKUP(C661,C632:E637,3,FALSE),"")</f>
        <v/>
      </c>
      <c r="F661" s="5"/>
      <c r="G661" s="6"/>
      <c r="H661" s="6"/>
      <c r="I661" s="6"/>
      <c r="J661" s="6"/>
      <c r="K661" s="6"/>
      <c r="L661" s="6"/>
      <c r="M661" s="6"/>
      <c r="N661" s="6"/>
      <c r="O661" s="7"/>
    </row>
    <row r="662" spans="1:15" s="1" customFormat="1">
      <c r="C662" s="44">
        <f>IF(C637=6,4,IF(C636=5,1,IF(C635=4,0,0)))</f>
        <v>0</v>
      </c>
      <c r="D662" s="45" t="str">
        <f>IF(C662&gt;0,VLOOKUP(C662,C632:E637,2,FALSE),"")</f>
        <v/>
      </c>
      <c r="E662" s="46" t="str">
        <f>IF(C662&gt;0,VLOOKUP(C662,C632:E637,3,FALSE),"")</f>
        <v/>
      </c>
      <c r="F662" s="8"/>
      <c r="G662" s="9"/>
      <c r="H662" s="9"/>
      <c r="I662" s="9"/>
      <c r="J662" s="9"/>
      <c r="K662" s="9"/>
      <c r="L662" s="9"/>
      <c r="M662" s="9"/>
      <c r="N662" s="9"/>
      <c r="O662" s="10"/>
    </row>
    <row r="663" spans="1:15" s="11" customFormat="1" ht="10.5">
      <c r="C663" s="49"/>
      <c r="D663" s="50"/>
      <c r="E663" s="51"/>
      <c r="F663" s="12"/>
      <c r="G663" s="12"/>
      <c r="H663" s="12"/>
      <c r="I663" s="12"/>
      <c r="J663" s="12"/>
      <c r="K663" s="12"/>
      <c r="L663" s="12"/>
      <c r="M663" s="12"/>
      <c r="N663" s="12"/>
      <c r="O663" s="13"/>
    </row>
    <row r="664" spans="1:15" s="1" customFormat="1">
      <c r="A664" s="1">
        <v>9</v>
      </c>
      <c r="C664" s="41">
        <f>IF(C637=6,5,IF(C636=5,3,IF(C635=4,0,0)))</f>
        <v>0</v>
      </c>
      <c r="D664" s="42" t="str">
        <f>IF(C664&gt;0,VLOOKUP(C664,C632:E637,2,FALSE),"")</f>
        <v/>
      </c>
      <c r="E664" s="43" t="str">
        <f>IF(C664&gt;0,VLOOKUP(C664,C632:E637,3,FALSE),"")</f>
        <v/>
      </c>
      <c r="F664" s="5"/>
      <c r="G664" s="6"/>
      <c r="H664" s="6"/>
      <c r="I664" s="6"/>
      <c r="J664" s="6"/>
      <c r="K664" s="6"/>
      <c r="L664" s="6"/>
      <c r="M664" s="6"/>
      <c r="N664" s="6"/>
      <c r="O664" s="7"/>
    </row>
    <row r="665" spans="1:15" s="1" customFormat="1">
      <c r="C665" s="44">
        <f>IF(C637=6,3,IF(C636=5,5,IF(C635=4,0,0)))</f>
        <v>0</v>
      </c>
      <c r="D665" s="45" t="str">
        <f>IF(C665&gt;0,VLOOKUP(C665,C632:E637,2,FALSE),"")</f>
        <v/>
      </c>
      <c r="E665" s="46" t="str">
        <f>IF(C665&gt;0,VLOOKUP(C665,C632:E637,3,FALSE),"")</f>
        <v/>
      </c>
      <c r="F665" s="8"/>
      <c r="G665" s="9"/>
      <c r="H665" s="9"/>
      <c r="I665" s="9"/>
      <c r="J665" s="9"/>
      <c r="K665" s="9"/>
      <c r="L665" s="9"/>
      <c r="M665" s="9"/>
      <c r="N665" s="9"/>
      <c r="O665" s="10"/>
    </row>
    <row r="666" spans="1:15" s="11" customFormat="1" ht="10.5">
      <c r="C666" s="49"/>
      <c r="D666" s="50"/>
      <c r="E666" s="51"/>
      <c r="F666" s="12"/>
      <c r="G666" s="12"/>
      <c r="H666" s="12"/>
      <c r="I666" s="12"/>
      <c r="J666" s="12"/>
      <c r="K666" s="12"/>
      <c r="L666" s="12"/>
      <c r="M666" s="12"/>
      <c r="N666" s="12"/>
      <c r="O666" s="13"/>
    </row>
    <row r="667" spans="1:15" s="1" customFormat="1">
      <c r="A667" s="1">
        <v>10</v>
      </c>
      <c r="C667" s="41">
        <f>IF(C637=6,1,IF(C636=5,4,IF(C635=4,0,0)))</f>
        <v>0</v>
      </c>
      <c r="D667" s="42" t="str">
        <f>IF(C667&gt;0,VLOOKUP(C667,C632:E637,2,FALSE),"")</f>
        <v/>
      </c>
      <c r="E667" s="43" t="str">
        <f>IF(C667&gt;0,VLOOKUP(C667,C632:E637,3,FALSE),"")</f>
        <v/>
      </c>
      <c r="F667" s="5"/>
      <c r="G667" s="6"/>
      <c r="H667" s="6"/>
      <c r="I667" s="6"/>
      <c r="J667" s="6"/>
      <c r="K667" s="6"/>
      <c r="L667" s="6"/>
      <c r="M667" s="6"/>
      <c r="N667" s="6"/>
      <c r="O667" s="7"/>
    </row>
    <row r="668" spans="1:15" s="1" customFormat="1">
      <c r="C668" s="44">
        <f>IF(C637=6,6,IF(C636=5,2,IF(C635=4,0,0)))</f>
        <v>0</v>
      </c>
      <c r="D668" s="45" t="str">
        <f>IF(C668&gt;0,VLOOKUP(C668,C632:E637,2,FALSE),"")</f>
        <v/>
      </c>
      <c r="E668" s="46" t="str">
        <f>IF(C668&gt;0,VLOOKUP(C668,C632:E637,3,FALSE),"")</f>
        <v/>
      </c>
      <c r="F668" s="8"/>
      <c r="G668" s="9"/>
      <c r="H668" s="9"/>
      <c r="I668" s="9"/>
      <c r="J668" s="9"/>
      <c r="K668" s="9"/>
      <c r="L668" s="9"/>
      <c r="M668" s="9"/>
      <c r="N668" s="9"/>
      <c r="O668" s="10"/>
    </row>
    <row r="669" spans="1:15" s="11" customFormat="1" ht="10.5">
      <c r="C669" s="49"/>
      <c r="D669" s="50"/>
      <c r="E669" s="51"/>
      <c r="F669" s="12"/>
      <c r="G669" s="12"/>
      <c r="H669" s="12"/>
      <c r="I669" s="12"/>
      <c r="J669" s="12"/>
      <c r="K669" s="12"/>
      <c r="L669" s="12"/>
      <c r="M669" s="12"/>
      <c r="N669" s="12"/>
      <c r="O669" s="13"/>
    </row>
    <row r="670" spans="1:15" s="1" customFormat="1">
      <c r="A670" s="1">
        <v>11</v>
      </c>
      <c r="C670" s="41">
        <f>IF(C637=6,4,0)</f>
        <v>0</v>
      </c>
      <c r="D670" s="42" t="str">
        <f>IF(C670&gt;0,VLOOKUP(C670,C632:E637,2,FALSE),"")</f>
        <v/>
      </c>
      <c r="E670" s="43" t="str">
        <f>IF(C670&gt;0,VLOOKUP(C670,C632:E637,3,FALSE),"")</f>
        <v/>
      </c>
      <c r="F670" s="5"/>
      <c r="G670" s="6"/>
      <c r="H670" s="6"/>
      <c r="I670" s="6"/>
      <c r="J670" s="6"/>
      <c r="K670" s="6"/>
      <c r="L670" s="6"/>
      <c r="M670" s="6"/>
      <c r="N670" s="6"/>
      <c r="O670" s="7"/>
    </row>
    <row r="671" spans="1:15" s="1" customFormat="1">
      <c r="C671" s="44">
        <f>IF(C637=6,2,0)</f>
        <v>0</v>
      </c>
      <c r="D671" s="45" t="str">
        <f>IF(C671&gt;0,VLOOKUP(C671,C632:E637,2,FALSE),"")</f>
        <v/>
      </c>
      <c r="E671" s="46" t="str">
        <f>IF(C671&gt;0,VLOOKUP(C671,C632:E637,3,FALSE),"")</f>
        <v/>
      </c>
      <c r="F671" s="8"/>
      <c r="G671" s="9"/>
      <c r="H671" s="9"/>
      <c r="I671" s="9"/>
      <c r="J671" s="9"/>
      <c r="K671" s="9"/>
      <c r="L671" s="9"/>
      <c r="M671" s="9"/>
      <c r="N671" s="9"/>
      <c r="O671" s="10"/>
    </row>
    <row r="672" spans="1:15" s="11" customFormat="1" ht="10.5">
      <c r="C672" s="49"/>
      <c r="D672" s="50"/>
      <c r="E672" s="51"/>
      <c r="F672" s="12"/>
      <c r="G672" s="12"/>
      <c r="H672" s="12"/>
      <c r="I672" s="12"/>
      <c r="J672" s="12"/>
      <c r="K672" s="12"/>
      <c r="L672" s="12"/>
      <c r="M672" s="12"/>
      <c r="N672" s="12"/>
      <c r="O672" s="13"/>
    </row>
    <row r="673" spans="1:16" s="1" customFormat="1">
      <c r="A673" s="1">
        <v>12</v>
      </c>
      <c r="C673" s="41">
        <f>IF(C637=6,3,0)</f>
        <v>0</v>
      </c>
      <c r="D673" s="42" t="str">
        <f>IF(C673&gt;0,VLOOKUP(C673,C632:E637,2,FALSE),"")</f>
        <v/>
      </c>
      <c r="E673" s="43" t="str">
        <f>IF(C673&gt;0,VLOOKUP(C673,C632:E637,3,FALSE),"")</f>
        <v/>
      </c>
      <c r="F673" s="5"/>
      <c r="G673" s="6"/>
      <c r="H673" s="6"/>
      <c r="I673" s="6"/>
      <c r="J673" s="6"/>
      <c r="K673" s="6"/>
      <c r="L673" s="6"/>
      <c r="M673" s="6"/>
      <c r="N673" s="6"/>
      <c r="O673" s="7"/>
    </row>
    <row r="674" spans="1:16" s="1" customFormat="1" ht="13.5" customHeight="1">
      <c r="C674" s="44">
        <f>IF(C637=6,6,0)</f>
        <v>0</v>
      </c>
      <c r="D674" s="45" t="str">
        <f>IF(C674&gt;0,VLOOKUP(C674,C632:E637,2,FALSE),"")</f>
        <v/>
      </c>
      <c r="E674" s="46" t="str">
        <f>IF(C674&gt;0,VLOOKUP(C674,C632:E637,3,FALSE),"")</f>
        <v/>
      </c>
      <c r="F674" s="8"/>
      <c r="G674" s="9"/>
      <c r="H674" s="9"/>
      <c r="I674" s="9"/>
      <c r="J674" s="9"/>
      <c r="K674" s="9"/>
      <c r="L674" s="9"/>
      <c r="M674" s="9"/>
      <c r="N674" s="9"/>
      <c r="O674" s="10"/>
    </row>
    <row r="675" spans="1:16" s="11" customFormat="1" ht="10.5">
      <c r="C675" s="49"/>
      <c r="D675" s="50"/>
      <c r="E675" s="51"/>
      <c r="F675" s="12"/>
      <c r="G675" s="12"/>
      <c r="H675" s="12"/>
      <c r="I675" s="12"/>
      <c r="J675" s="12"/>
      <c r="K675" s="12"/>
      <c r="L675" s="12"/>
      <c r="M675" s="12"/>
      <c r="N675" s="12"/>
      <c r="O675" s="13"/>
    </row>
    <row r="676" spans="1:16" s="1" customFormat="1">
      <c r="A676" s="1">
        <v>13</v>
      </c>
      <c r="C676" s="41">
        <f>IF(C637=6,5,0)</f>
        <v>0</v>
      </c>
      <c r="D676" s="42" t="str">
        <f>IF(C676&gt;0,VLOOKUP(C676,C632:E637,2,FALSE),"")</f>
        <v/>
      </c>
      <c r="E676" s="43" t="str">
        <f>IF(C676&gt;0,VLOOKUP(C676,C632:E637,3,FALSE),"")</f>
        <v/>
      </c>
      <c r="F676" s="5"/>
      <c r="G676" s="6"/>
      <c r="H676" s="6"/>
      <c r="I676" s="6"/>
      <c r="J676" s="6"/>
      <c r="K676" s="6"/>
      <c r="L676" s="6"/>
      <c r="M676" s="6"/>
      <c r="N676" s="6"/>
      <c r="O676" s="7"/>
    </row>
    <row r="677" spans="1:16" s="1" customFormat="1">
      <c r="C677" s="44">
        <f>IF(C637=6,1,0)</f>
        <v>0</v>
      </c>
      <c r="D677" s="45" t="str">
        <f>IF(C677&gt;0,VLOOKUP(C677,C632:E637,2,FALSE),"")</f>
        <v/>
      </c>
      <c r="E677" s="46" t="str">
        <f>IF(C677&gt;0,VLOOKUP(C677,C632:E637,3,FALSE),"")</f>
        <v/>
      </c>
      <c r="F677" s="8"/>
      <c r="G677" s="9"/>
      <c r="H677" s="9"/>
      <c r="I677" s="9"/>
      <c r="J677" s="9"/>
      <c r="K677" s="9"/>
      <c r="L677" s="9"/>
      <c r="M677" s="9"/>
      <c r="N677" s="9"/>
      <c r="O677" s="10"/>
    </row>
    <row r="678" spans="1:16" s="11" customFormat="1" ht="10.5">
      <c r="C678" s="49"/>
      <c r="D678" s="50"/>
      <c r="E678" s="51"/>
      <c r="F678" s="12"/>
      <c r="G678" s="12"/>
      <c r="H678" s="12"/>
      <c r="I678" s="12"/>
      <c r="J678" s="12"/>
      <c r="K678" s="12"/>
      <c r="L678" s="12"/>
      <c r="M678" s="12"/>
      <c r="N678" s="12"/>
      <c r="O678" s="13"/>
    </row>
    <row r="679" spans="1:16" s="1" customFormat="1">
      <c r="A679" s="1">
        <v>14</v>
      </c>
      <c r="C679" s="41">
        <f>IF(C637=6,3,0)</f>
        <v>0</v>
      </c>
      <c r="D679" s="42" t="str">
        <f>IF(C679&gt;0,VLOOKUP(C679,C632:E637,2,FALSE),"")</f>
        <v/>
      </c>
      <c r="E679" s="43" t="str">
        <f>IF(C679&gt;0,VLOOKUP(C679,C632:E637,3,FALSE),"")</f>
        <v/>
      </c>
      <c r="F679" s="5"/>
      <c r="G679" s="6"/>
      <c r="H679" s="6"/>
      <c r="I679" s="6"/>
      <c r="J679" s="6"/>
      <c r="K679" s="6"/>
      <c r="L679" s="6"/>
      <c r="M679" s="6"/>
      <c r="N679" s="6"/>
      <c r="O679" s="7"/>
    </row>
    <row r="680" spans="1:16" s="1" customFormat="1">
      <c r="C680" s="44">
        <f>IF(C637=6,4,0)</f>
        <v>0</v>
      </c>
      <c r="D680" s="45" t="str">
        <f>IF(C680&gt;0,VLOOKUP(C680,C632:E637,2,FALSE),"")</f>
        <v/>
      </c>
      <c r="E680" s="46" t="str">
        <f>IF(C680&gt;0,VLOOKUP(C680,C632:E637,3,FALSE),"")</f>
        <v/>
      </c>
      <c r="F680" s="8"/>
      <c r="G680" s="9"/>
      <c r="H680" s="9"/>
      <c r="I680" s="9"/>
      <c r="J680" s="9"/>
      <c r="K680" s="9"/>
      <c r="L680" s="9"/>
      <c r="M680" s="9"/>
      <c r="N680" s="9"/>
      <c r="O680" s="10"/>
    </row>
    <row r="681" spans="1:16" s="11" customFormat="1" ht="10.5">
      <c r="C681" s="49"/>
      <c r="D681" s="50"/>
      <c r="E681" s="51"/>
      <c r="F681" s="12"/>
      <c r="G681" s="12"/>
      <c r="H681" s="12"/>
      <c r="I681" s="12"/>
      <c r="J681" s="12"/>
      <c r="K681" s="12"/>
      <c r="L681" s="12"/>
      <c r="M681" s="12"/>
      <c r="N681" s="12"/>
      <c r="O681" s="13"/>
    </row>
    <row r="682" spans="1:16" s="1" customFormat="1">
      <c r="A682" s="1">
        <v>15</v>
      </c>
      <c r="C682" s="41">
        <f>IF(C637=6,6,0)</f>
        <v>0</v>
      </c>
      <c r="D682" s="42" t="str">
        <f>IF(C682&gt;0,VLOOKUP(C682,C632:E637,2,FALSE),"")</f>
        <v/>
      </c>
      <c r="E682" s="43" t="str">
        <f>IF(C682&gt;0,VLOOKUP(C682,C632:E637,3,FALSE),"")</f>
        <v/>
      </c>
      <c r="F682" s="5"/>
      <c r="G682" s="6"/>
      <c r="H682" s="6"/>
      <c r="I682" s="6"/>
      <c r="J682" s="6"/>
      <c r="K682" s="6"/>
      <c r="L682" s="6"/>
      <c r="M682" s="6"/>
      <c r="N682" s="6"/>
      <c r="O682" s="7"/>
    </row>
    <row r="683" spans="1:16" s="1" customFormat="1">
      <c r="C683" s="44">
        <f>IF(C637=6,2,0)</f>
        <v>0</v>
      </c>
      <c r="D683" s="45" t="str">
        <f>IF(C683&gt;0,VLOOKUP(C683,C632:E637,2,FALSE),"")</f>
        <v/>
      </c>
      <c r="E683" s="46" t="str">
        <f>IF(C683&gt;0,VLOOKUP(C683,C632:E637,3,FALSE),"")</f>
        <v/>
      </c>
      <c r="F683" s="8"/>
      <c r="G683" s="9"/>
      <c r="H683" s="9"/>
      <c r="I683" s="9"/>
      <c r="J683" s="9"/>
      <c r="K683" s="9"/>
      <c r="L683" s="9"/>
      <c r="M683" s="9"/>
      <c r="N683" s="9"/>
      <c r="O683" s="10"/>
    </row>
    <row r="684" spans="1:16" s="104" customFormat="1" ht="10.5">
      <c r="C684" s="107"/>
      <c r="D684" s="52"/>
      <c r="E684" s="53"/>
      <c r="F684" s="108"/>
      <c r="G684" s="108"/>
      <c r="H684" s="108"/>
      <c r="I684" s="108"/>
      <c r="J684" s="108"/>
      <c r="K684" s="108"/>
      <c r="L684" s="108"/>
      <c r="M684" s="108"/>
      <c r="N684" s="108"/>
      <c r="O684" s="109"/>
    </row>
    <row r="685" spans="1:16" s="57" customFormat="1" ht="17.25">
      <c r="A685" s="321" t="str">
        <f>名簿!$A$1</f>
        <v>第9回川本杯はしまモアフェンシング大会</v>
      </c>
      <c r="B685" s="321"/>
      <c r="C685" s="321"/>
      <c r="D685" s="321"/>
      <c r="E685" s="321"/>
      <c r="F685" s="321"/>
      <c r="G685" s="321"/>
      <c r="H685" s="321"/>
      <c r="I685" s="321"/>
      <c r="J685" s="321"/>
      <c r="K685" s="268" t="s">
        <v>72</v>
      </c>
      <c r="L685" s="322" t="s">
        <v>73</v>
      </c>
      <c r="M685" s="322"/>
      <c r="N685" s="322"/>
      <c r="O685" s="323"/>
    </row>
    <row r="686" spans="1:16" s="58" customFormat="1" ht="14.25">
      <c r="A686" s="318" t="str">
        <f>"　"&amp;名簿!$A$2</f>
        <v>　中学男子</v>
      </c>
      <c r="B686" s="318"/>
      <c r="C686" s="318"/>
      <c r="D686" s="318"/>
      <c r="E686" s="318"/>
      <c r="F686" s="318"/>
      <c r="G686" s="318"/>
      <c r="H686" s="318"/>
      <c r="I686" s="318"/>
      <c r="J686" s="318"/>
      <c r="K686" s="269"/>
      <c r="L686" s="319" t="s">
        <v>74</v>
      </c>
      <c r="M686" s="319"/>
      <c r="N686" s="319"/>
      <c r="O686" s="320"/>
    </row>
    <row r="687" spans="1:16" s="58" customFormat="1" ht="14.25">
      <c r="A687" s="314" t="str">
        <f>"　　"&amp;名簿!$A$3</f>
        <v>　　1回戦</v>
      </c>
      <c r="B687" s="314"/>
      <c r="C687" s="314"/>
      <c r="D687" s="314"/>
      <c r="E687" s="314"/>
      <c r="K687" s="315">
        <f>名簿!$E$3</f>
        <v>43184</v>
      </c>
      <c r="L687" s="315"/>
      <c r="M687" s="315"/>
      <c r="N687" s="315"/>
      <c r="O687" s="315"/>
    </row>
    <row r="688" spans="1:16">
      <c r="A688" s="59" t="s">
        <v>57</v>
      </c>
      <c r="B688" s="60" t="s">
        <v>13</v>
      </c>
      <c r="C688" s="61" t="s">
        <v>0</v>
      </c>
      <c r="D688" s="62" t="s">
        <v>7</v>
      </c>
      <c r="E688" s="63" t="s">
        <v>8</v>
      </c>
      <c r="F688" s="64">
        <v>1</v>
      </c>
      <c r="G688" s="65">
        <v>2</v>
      </c>
      <c r="H688" s="65">
        <v>3</v>
      </c>
      <c r="I688" s="65">
        <v>4</v>
      </c>
      <c r="J688" s="65">
        <v>5</v>
      </c>
      <c r="K688" s="66">
        <v>6</v>
      </c>
      <c r="L688" s="67" t="s">
        <v>58</v>
      </c>
      <c r="M688" s="68" t="s">
        <v>59</v>
      </c>
      <c r="N688" s="316" t="s">
        <v>6</v>
      </c>
      <c r="O688" s="317"/>
      <c r="P688" s="69"/>
    </row>
    <row r="689" spans="1:16" ht="18" customHeight="1">
      <c r="A689" s="71">
        <f>'予選 Ｐ'!A77</f>
        <v>13</v>
      </c>
      <c r="B689" s="72">
        <f>'予選 Ｐ'!B77</f>
        <v>0</v>
      </c>
      <c r="C689" s="73" t="str">
        <f>'予選 Ｐ'!C77</f>
        <v/>
      </c>
      <c r="D689" s="34" t="str">
        <f>'予選 Ｐ'!E77</f>
        <v/>
      </c>
      <c r="E689" s="35" t="str">
        <f>'予選 Ｐ'!F77</f>
        <v/>
      </c>
      <c r="F689" s="74"/>
      <c r="G689" s="75"/>
      <c r="H689" s="75"/>
      <c r="I689" s="75"/>
      <c r="J689" s="75"/>
      <c r="K689" s="76"/>
      <c r="L689" s="77"/>
      <c r="M689" s="78"/>
      <c r="N689" s="79"/>
      <c r="O689" s="80"/>
      <c r="P689" s="81"/>
    </row>
    <row r="690" spans="1:16" ht="18" customHeight="1">
      <c r="A690" s="82" t="str">
        <f>'予選 Ｐ'!A78</f>
        <v/>
      </c>
      <c r="B690" s="83">
        <f>'予選 Ｐ'!B78</f>
        <v>0</v>
      </c>
      <c r="C690" s="84" t="str">
        <f>'予選 Ｐ'!C78</f>
        <v/>
      </c>
      <c r="D690" s="36" t="str">
        <f>'予選 Ｐ'!E78</f>
        <v/>
      </c>
      <c r="E690" s="35" t="str">
        <f>'予選 Ｐ'!F78</f>
        <v/>
      </c>
      <c r="F690" s="85"/>
      <c r="G690" s="86"/>
      <c r="H690" s="87"/>
      <c r="I690" s="87"/>
      <c r="J690" s="87"/>
      <c r="K690" s="88"/>
      <c r="L690" s="89"/>
      <c r="M690" s="90"/>
      <c r="N690" s="91"/>
      <c r="O690" s="92"/>
      <c r="P690" s="81"/>
    </row>
    <row r="691" spans="1:16" ht="18" customHeight="1">
      <c r="A691" s="82" t="str">
        <f>'予選 Ｐ'!A79</f>
        <v/>
      </c>
      <c r="B691" s="83">
        <f>'予選 Ｐ'!B79</f>
        <v>0</v>
      </c>
      <c r="C691" s="84" t="str">
        <f>'予選 Ｐ'!C79</f>
        <v/>
      </c>
      <c r="D691" s="36" t="str">
        <f>'予選 Ｐ'!E79</f>
        <v/>
      </c>
      <c r="E691" s="35" t="str">
        <f>'予選 Ｐ'!F79</f>
        <v/>
      </c>
      <c r="F691" s="85"/>
      <c r="G691" s="87"/>
      <c r="H691" s="86"/>
      <c r="I691" s="87"/>
      <c r="J691" s="87"/>
      <c r="K691" s="88"/>
      <c r="L691" s="89"/>
      <c r="M691" s="90"/>
      <c r="N691" s="91"/>
      <c r="O691" s="92"/>
      <c r="P691" s="81"/>
    </row>
    <row r="692" spans="1:16" ht="18" customHeight="1">
      <c r="A692" s="82" t="str">
        <f>'予選 Ｐ'!A80</f>
        <v/>
      </c>
      <c r="B692" s="83" t="str">
        <f>IF('予選 Ｐ'!B80="","",'予選 Ｐ'!B80)</f>
        <v/>
      </c>
      <c r="C692" s="84" t="str">
        <f>'予選 Ｐ'!C80</f>
        <v/>
      </c>
      <c r="D692" s="36" t="str">
        <f>'予選 Ｐ'!E80</f>
        <v/>
      </c>
      <c r="E692" s="35" t="str">
        <f>'予選 Ｐ'!F80</f>
        <v/>
      </c>
      <c r="F692" s="85"/>
      <c r="G692" s="87"/>
      <c r="H692" s="87"/>
      <c r="I692" s="86"/>
      <c r="J692" s="87"/>
      <c r="K692" s="88"/>
      <c r="L692" s="89"/>
      <c r="M692" s="90"/>
      <c r="N692" s="91"/>
      <c r="O692" s="92"/>
      <c r="P692" s="81"/>
    </row>
    <row r="693" spans="1:16" ht="18" customHeight="1">
      <c r="A693" s="82" t="str">
        <f>'予選 Ｐ'!A81</f>
        <v/>
      </c>
      <c r="B693" s="83" t="str">
        <f>IF('予選 Ｐ'!B81="","",'予選 Ｐ'!B81)</f>
        <v/>
      </c>
      <c r="C693" s="84" t="str">
        <f>'予選 Ｐ'!C81</f>
        <v/>
      </c>
      <c r="D693" s="36" t="str">
        <f>'予選 Ｐ'!E81</f>
        <v/>
      </c>
      <c r="E693" s="35" t="str">
        <f>'予選 Ｐ'!F81</f>
        <v/>
      </c>
      <c r="F693" s="85"/>
      <c r="G693" s="87"/>
      <c r="H693" s="87"/>
      <c r="I693" s="87"/>
      <c r="J693" s="86"/>
      <c r="K693" s="88"/>
      <c r="L693" s="89"/>
      <c r="M693" s="90"/>
      <c r="N693" s="91"/>
      <c r="O693" s="92"/>
      <c r="P693" s="81"/>
    </row>
    <row r="694" spans="1:16" ht="18" customHeight="1">
      <c r="A694" s="93" t="str">
        <f>'予選 Ｐ'!A82</f>
        <v/>
      </c>
      <c r="B694" s="94" t="str">
        <f>IF('予選 Ｐ'!B82="","",'予選 Ｐ'!B82)</f>
        <v/>
      </c>
      <c r="C694" s="95" t="str">
        <f>'予選 Ｐ'!C82</f>
        <v/>
      </c>
      <c r="D694" s="37" t="str">
        <f>'予選 Ｐ'!E82</f>
        <v/>
      </c>
      <c r="E694" s="96" t="str">
        <f>'予選 Ｐ'!F82</f>
        <v/>
      </c>
      <c r="F694" s="97"/>
      <c r="G694" s="98"/>
      <c r="H694" s="98"/>
      <c r="I694" s="98"/>
      <c r="J694" s="98"/>
      <c r="K694" s="99"/>
      <c r="L694" s="100"/>
      <c r="M694" s="101"/>
      <c r="N694" s="102"/>
      <c r="O694" s="103"/>
      <c r="P694" s="81"/>
    </row>
    <row r="695" spans="1:16" s="104" customFormat="1" ht="10.5">
      <c r="D695" s="105"/>
      <c r="E695" s="106"/>
    </row>
    <row r="696" spans="1:16" s="1" customFormat="1">
      <c r="C696" s="38" t="s">
        <v>37</v>
      </c>
      <c r="D696" s="39" t="s">
        <v>16</v>
      </c>
      <c r="E696" s="40" t="s">
        <v>8</v>
      </c>
      <c r="F696" s="2">
        <v>1</v>
      </c>
      <c r="G696" s="3">
        <v>2</v>
      </c>
      <c r="H696" s="3">
        <v>3</v>
      </c>
      <c r="I696" s="3">
        <v>4</v>
      </c>
      <c r="J696" s="3">
        <v>5</v>
      </c>
      <c r="K696" s="3">
        <v>6</v>
      </c>
      <c r="L696" s="3">
        <v>7</v>
      </c>
      <c r="M696" s="3">
        <v>8</v>
      </c>
      <c r="N696" s="3">
        <v>9</v>
      </c>
      <c r="O696" s="4" t="s">
        <v>5</v>
      </c>
    </row>
    <row r="697" spans="1:16" s="1" customFormat="1">
      <c r="A697" s="1">
        <v>1</v>
      </c>
      <c r="C697" s="41">
        <v>1</v>
      </c>
      <c r="D697" s="42" t="e">
        <f>IF(C697&gt;0,VLOOKUP(C697,C689:E694,2,FALSE),"")</f>
        <v>#N/A</v>
      </c>
      <c r="E697" s="43" t="e">
        <f>IF(C697&gt;0,VLOOKUP(C697,C689:E694,3,FALSE),"")</f>
        <v>#N/A</v>
      </c>
      <c r="F697" s="5"/>
      <c r="G697" s="6"/>
      <c r="H697" s="6"/>
      <c r="I697" s="6"/>
      <c r="J697" s="6"/>
      <c r="K697" s="6"/>
      <c r="L697" s="6"/>
      <c r="M697" s="6"/>
      <c r="N697" s="6"/>
      <c r="O697" s="7"/>
    </row>
    <row r="698" spans="1:16" s="1" customFormat="1">
      <c r="C698" s="44" t="b">
        <f>IF(C694=6,2,IF(C693=5,2,IF(C692=4,4,IF(C691=3,3))))</f>
        <v>0</v>
      </c>
      <c r="D698" s="45" t="e">
        <f>IF(C698&gt;0,VLOOKUP(C698,C689:E694,2,FALSE),"")</f>
        <v>#N/A</v>
      </c>
      <c r="E698" s="46" t="e">
        <f>IF(C698&gt;0,VLOOKUP(C698,C689:E694,3,FALSE),"")</f>
        <v>#N/A</v>
      </c>
      <c r="F698" s="8"/>
      <c r="G698" s="9"/>
      <c r="H698" s="9"/>
      <c r="I698" s="9"/>
      <c r="J698" s="9"/>
      <c r="K698" s="9"/>
      <c r="L698" s="9"/>
      <c r="M698" s="9"/>
      <c r="N698" s="9"/>
      <c r="O698" s="10"/>
    </row>
    <row r="699" spans="1:16" s="11" customFormat="1" ht="10.5">
      <c r="D699" s="47"/>
      <c r="E699" s="48"/>
    </row>
    <row r="700" spans="1:16" s="1" customFormat="1">
      <c r="A700" s="1">
        <v>2</v>
      </c>
      <c r="C700" s="41" t="b">
        <f>IF(C694=6,4,IF(C693=5,3,IF(C692=4,2,IF(C691=3,2))))</f>
        <v>0</v>
      </c>
      <c r="D700" s="42" t="e">
        <f>IF(C700&gt;0,VLOOKUP(C700,C689:E694,2,FALSE),"")</f>
        <v>#N/A</v>
      </c>
      <c r="E700" s="43" t="e">
        <f>IF(C700&gt;0,VLOOKUP(C700,C689:E694,3,FALSE),"")</f>
        <v>#N/A</v>
      </c>
      <c r="F700" s="5"/>
      <c r="G700" s="6"/>
      <c r="H700" s="6"/>
      <c r="I700" s="6"/>
      <c r="J700" s="6"/>
      <c r="K700" s="6"/>
      <c r="L700" s="6"/>
      <c r="M700" s="6"/>
      <c r="N700" s="6"/>
      <c r="O700" s="7"/>
    </row>
    <row r="701" spans="1:16" s="1" customFormat="1">
      <c r="C701" s="44" t="b">
        <f>IF(C694=6,5,IF(C693=5,4,IF(C692=4,3,IF(C691=3,3))))</f>
        <v>0</v>
      </c>
      <c r="D701" s="45" t="e">
        <f>IF(C701&gt;0,VLOOKUP(C701,C689:E694,2,FALSE),"")</f>
        <v>#N/A</v>
      </c>
      <c r="E701" s="46" t="e">
        <f>IF(C701&gt;0,VLOOKUP(C701,C689:E694,3,FALSE),"")</f>
        <v>#N/A</v>
      </c>
      <c r="F701" s="8"/>
      <c r="G701" s="9"/>
      <c r="H701" s="9"/>
      <c r="I701" s="9"/>
      <c r="J701" s="9"/>
      <c r="K701" s="9"/>
      <c r="L701" s="9"/>
      <c r="M701" s="9"/>
      <c r="N701" s="9"/>
      <c r="O701" s="10"/>
    </row>
    <row r="702" spans="1:16" s="11" customFormat="1" ht="10.5">
      <c r="D702" s="47"/>
      <c r="E702" s="48"/>
    </row>
    <row r="703" spans="1:16" s="1" customFormat="1">
      <c r="A703" s="1">
        <v>3</v>
      </c>
      <c r="C703" s="41" t="b">
        <f>IF(C694=6,2,IF(C693=5,5,IF(C692=4,1,IF(C691=3,1))))</f>
        <v>0</v>
      </c>
      <c r="D703" s="42" t="e">
        <f>IF(C703&gt;0,VLOOKUP(C703,C689:E694,2,FALSE),"")</f>
        <v>#N/A</v>
      </c>
      <c r="E703" s="43" t="e">
        <f>IF(C703&gt;0,VLOOKUP(C703,C689:E694,3,FALSE),"")</f>
        <v>#N/A</v>
      </c>
      <c r="F703" s="5"/>
      <c r="G703" s="6"/>
      <c r="H703" s="6"/>
      <c r="I703" s="6"/>
      <c r="J703" s="6"/>
      <c r="K703" s="6"/>
      <c r="L703" s="6"/>
      <c r="M703" s="6"/>
      <c r="N703" s="6"/>
      <c r="O703" s="7"/>
    </row>
    <row r="704" spans="1:16" s="1" customFormat="1">
      <c r="C704" s="44" t="b">
        <f>IF(C694=6,3,IF(C693=5,1,IF(C692=4,3,IF(C691=3,2))))</f>
        <v>0</v>
      </c>
      <c r="D704" s="45" t="e">
        <f>IF(C704&gt;0,VLOOKUP(C704,C689:E694,2,FALSE),"")</f>
        <v>#N/A</v>
      </c>
      <c r="E704" s="46" t="e">
        <f>IF(C704&gt;0,VLOOKUP(C704,C689:E694,3,FALSE),"")</f>
        <v>#N/A</v>
      </c>
      <c r="F704" s="8"/>
      <c r="G704" s="9"/>
      <c r="H704" s="9"/>
      <c r="I704" s="9"/>
      <c r="J704" s="9"/>
      <c r="K704" s="9"/>
      <c r="L704" s="9"/>
      <c r="M704" s="9"/>
      <c r="N704" s="9"/>
      <c r="O704" s="10"/>
    </row>
    <row r="705" spans="1:15" s="11" customFormat="1" ht="10.5">
      <c r="C705" s="49"/>
      <c r="D705" s="50"/>
      <c r="E705" s="51"/>
      <c r="F705" s="12"/>
      <c r="G705" s="12"/>
      <c r="H705" s="12"/>
      <c r="I705" s="12"/>
      <c r="J705" s="12"/>
      <c r="K705" s="12"/>
      <c r="L705" s="12"/>
      <c r="M705" s="12"/>
      <c r="N705" s="12"/>
      <c r="O705" s="13"/>
    </row>
    <row r="706" spans="1:15" s="1" customFormat="1">
      <c r="A706" s="1">
        <v>4</v>
      </c>
      <c r="C706" s="41">
        <f>IF(C694=6,5,IF(C693=5,2,IF(C692=4,2,IF(C691=3,0,0))))</f>
        <v>0</v>
      </c>
      <c r="D706" s="42" t="str">
        <f>IF(C706&gt;0,VLOOKUP(C706,C689:E694,2,FALSE),"")</f>
        <v/>
      </c>
      <c r="E706" s="43" t="str">
        <f>IF(C706&gt;0,VLOOKUP(C706,C689:E694,3,FALSE),"")</f>
        <v/>
      </c>
      <c r="F706" s="5"/>
      <c r="G706" s="6"/>
      <c r="H706" s="6"/>
      <c r="I706" s="6"/>
      <c r="J706" s="6"/>
      <c r="K706" s="6"/>
      <c r="L706" s="6"/>
      <c r="M706" s="6"/>
      <c r="N706" s="6"/>
      <c r="O706" s="7"/>
    </row>
    <row r="707" spans="1:15" s="1" customFormat="1">
      <c r="C707" s="44">
        <f>IF(C694=6,6,IF(C693=5,3,IF(C692=4,4,IF(C691=3,0,0))))</f>
        <v>0</v>
      </c>
      <c r="D707" s="45" t="str">
        <f>IF(C707&gt;0,VLOOKUP(C707,C689:E694,2,FALSE),"")</f>
        <v/>
      </c>
      <c r="E707" s="46" t="str">
        <f>IF(C707&gt;0,VLOOKUP(C707,C689:E694,3,FALSE),"")</f>
        <v/>
      </c>
      <c r="F707" s="8"/>
      <c r="G707" s="9"/>
      <c r="H707" s="9"/>
      <c r="I707" s="9"/>
      <c r="J707" s="9"/>
      <c r="K707" s="9"/>
      <c r="L707" s="9"/>
      <c r="M707" s="9"/>
      <c r="N707" s="9"/>
      <c r="O707" s="10"/>
    </row>
    <row r="708" spans="1:15" s="11" customFormat="1" ht="10.5">
      <c r="C708" s="49"/>
      <c r="D708" s="50"/>
      <c r="E708" s="51"/>
      <c r="F708" s="12"/>
      <c r="G708" s="12"/>
      <c r="H708" s="12"/>
      <c r="I708" s="12"/>
      <c r="J708" s="12"/>
      <c r="K708" s="12"/>
      <c r="L708" s="12"/>
      <c r="M708" s="12"/>
      <c r="N708" s="12"/>
      <c r="O708" s="13"/>
    </row>
    <row r="709" spans="1:15" s="1" customFormat="1">
      <c r="A709" s="1">
        <v>5</v>
      </c>
      <c r="C709" s="41">
        <f>IF(C694=6,3,IF(C693=5,5,IF(C692=4,3,IF(C691=3,0,0))))</f>
        <v>0</v>
      </c>
      <c r="D709" s="42" t="str">
        <f>IF(C709&gt;0,VLOOKUP(C709,C689:E694,2,FALSE),"")</f>
        <v/>
      </c>
      <c r="E709" s="43" t="str">
        <f>IF(C709&gt;0,VLOOKUP(C709,C689:E694,3,FALSE),"")</f>
        <v/>
      </c>
      <c r="F709" s="5"/>
      <c r="G709" s="6"/>
      <c r="H709" s="6"/>
      <c r="I709" s="6"/>
      <c r="J709" s="6"/>
      <c r="K709" s="6"/>
      <c r="L709" s="6"/>
      <c r="M709" s="6"/>
      <c r="N709" s="6"/>
      <c r="O709" s="7"/>
    </row>
    <row r="710" spans="1:15" s="1" customFormat="1">
      <c r="C710" s="44">
        <f>IF(C694=6,1,IF(C693=5,4,IF(C692=4,4,IF(C691=3,0,0))))</f>
        <v>0</v>
      </c>
      <c r="D710" s="45" t="str">
        <f>IF(C710&gt;0,VLOOKUP(C710,C689:E694,2,FALSE),"")</f>
        <v/>
      </c>
      <c r="E710" s="46" t="str">
        <f>IF(C710&gt;0,VLOOKUP(C710,C689:E694,3,FALSE),"")</f>
        <v/>
      </c>
      <c r="F710" s="8"/>
      <c r="G710" s="9"/>
      <c r="H710" s="9"/>
      <c r="I710" s="9"/>
      <c r="J710" s="9"/>
      <c r="K710" s="9"/>
      <c r="L710" s="9"/>
      <c r="M710" s="9"/>
      <c r="N710" s="9"/>
      <c r="O710" s="10"/>
    </row>
    <row r="711" spans="1:15" s="11" customFormat="1" ht="10.5">
      <c r="C711" s="49"/>
      <c r="D711" s="50"/>
      <c r="E711" s="51"/>
      <c r="F711" s="12"/>
      <c r="G711" s="12"/>
      <c r="H711" s="12"/>
      <c r="I711" s="12"/>
      <c r="J711" s="12"/>
      <c r="K711" s="12"/>
      <c r="L711" s="12"/>
      <c r="M711" s="12"/>
      <c r="N711" s="12"/>
      <c r="O711" s="13"/>
    </row>
    <row r="712" spans="1:15" s="1" customFormat="1">
      <c r="A712" s="1">
        <v>6</v>
      </c>
      <c r="C712" s="41">
        <f>IF(C694=6,6,IF(C693=5,1,IF(C692=4,1,IF(C691=3,0,0))))</f>
        <v>0</v>
      </c>
      <c r="D712" s="42" t="str">
        <f>IF(C712&gt;0,VLOOKUP(C712,C689:E694,2,FALSE),"")</f>
        <v/>
      </c>
      <c r="E712" s="43" t="str">
        <f>IF(C712&gt;0,VLOOKUP(C712,C689:E694,3,FALSE),"")</f>
        <v/>
      </c>
      <c r="F712" s="5"/>
      <c r="G712" s="6"/>
      <c r="H712" s="6"/>
      <c r="I712" s="6"/>
      <c r="J712" s="6"/>
      <c r="K712" s="6"/>
      <c r="L712" s="6"/>
      <c r="M712" s="6"/>
      <c r="N712" s="6"/>
      <c r="O712" s="7"/>
    </row>
    <row r="713" spans="1:15" s="1" customFormat="1">
      <c r="C713" s="44">
        <f>IF(C694=6,4,IF(C693=5,3,IF(C692=4,2,IF(C691=3,0,0))))</f>
        <v>0</v>
      </c>
      <c r="D713" s="45" t="str">
        <f>IF(C713&gt;0,VLOOKUP(C713,C689:E694,2,FALSE),"")</f>
        <v/>
      </c>
      <c r="E713" s="46" t="str">
        <f>IF(C713&gt;0,VLOOKUP(C713,C689:E694,3,FALSE),"")</f>
        <v/>
      </c>
      <c r="F713" s="8"/>
      <c r="G713" s="9"/>
      <c r="H713" s="9"/>
      <c r="I713" s="9"/>
      <c r="J713" s="9"/>
      <c r="K713" s="9"/>
      <c r="L713" s="9"/>
      <c r="M713" s="9"/>
      <c r="N713" s="9"/>
      <c r="O713" s="10"/>
    </row>
    <row r="714" spans="1:15" s="11" customFormat="1" ht="10.5">
      <c r="C714" s="49"/>
      <c r="D714" s="50"/>
      <c r="E714" s="51"/>
      <c r="F714" s="12"/>
      <c r="G714" s="12"/>
      <c r="H714" s="12"/>
      <c r="I714" s="12"/>
      <c r="J714" s="12"/>
      <c r="K714" s="12"/>
      <c r="L714" s="12"/>
      <c r="M714" s="12"/>
      <c r="N714" s="12"/>
      <c r="O714" s="13"/>
    </row>
    <row r="715" spans="1:15" s="1" customFormat="1">
      <c r="A715" s="1">
        <v>7</v>
      </c>
      <c r="C715" s="41">
        <f>IF(C694=6,2,IF(C693=5,2,IF(C692=4,0,0)))</f>
        <v>0</v>
      </c>
      <c r="D715" s="42" t="str">
        <f>IF(C715&gt;0,VLOOKUP(C715,C689:E694,2,FALSE),"")</f>
        <v/>
      </c>
      <c r="E715" s="43" t="str">
        <f>IF(C715&gt;0,VLOOKUP(C715,C689:E694,3,FALSE),"")</f>
        <v/>
      </c>
      <c r="F715" s="5"/>
      <c r="G715" s="6"/>
      <c r="H715" s="6"/>
      <c r="I715" s="6"/>
      <c r="J715" s="6"/>
      <c r="K715" s="6"/>
      <c r="L715" s="6"/>
      <c r="M715" s="6"/>
      <c r="N715" s="6"/>
      <c r="O715" s="7"/>
    </row>
    <row r="716" spans="1:15" s="1" customFormat="1">
      <c r="C716" s="44">
        <f>IF(C694=6,5,IF(C693=5,5,IF(C692=4,0,0)))</f>
        <v>0</v>
      </c>
      <c r="D716" s="45" t="str">
        <f>IF(C716&gt;0,VLOOKUP(C716,C689:E694,2,FALSE),"")</f>
        <v/>
      </c>
      <c r="E716" s="46" t="str">
        <f>IF(C716&gt;0,VLOOKUP(C716,C689:E694,3,FALSE),"")</f>
        <v/>
      </c>
      <c r="F716" s="8"/>
      <c r="G716" s="9"/>
      <c r="H716" s="9"/>
      <c r="I716" s="9"/>
      <c r="J716" s="9"/>
      <c r="K716" s="9"/>
      <c r="L716" s="9"/>
      <c r="M716" s="9"/>
      <c r="N716" s="9"/>
      <c r="O716" s="10"/>
    </row>
    <row r="717" spans="1:15" s="11" customFormat="1" ht="10.5">
      <c r="C717" s="49"/>
      <c r="D717" s="50"/>
      <c r="E717" s="51"/>
      <c r="F717" s="12"/>
      <c r="G717" s="12"/>
      <c r="H717" s="12"/>
      <c r="I717" s="12"/>
      <c r="J717" s="12"/>
      <c r="K717" s="12"/>
      <c r="L717" s="12"/>
      <c r="M717" s="12"/>
      <c r="N717" s="12"/>
      <c r="O717" s="13"/>
    </row>
    <row r="718" spans="1:15" s="1" customFormat="1">
      <c r="A718" s="1">
        <v>8</v>
      </c>
      <c r="C718" s="41">
        <f>IF(C694=6,1,IF(C693=5,4,IF(C692=4,0,0)))</f>
        <v>0</v>
      </c>
      <c r="D718" s="42" t="str">
        <f>IF(C718&gt;0,VLOOKUP(C718,C689:E694,2,FALSE),"")</f>
        <v/>
      </c>
      <c r="E718" s="43" t="str">
        <f>IF(C718&gt;0,VLOOKUP(C718,C689:E694,3,FALSE),"")</f>
        <v/>
      </c>
      <c r="F718" s="5"/>
      <c r="G718" s="6"/>
      <c r="H718" s="6"/>
      <c r="I718" s="6"/>
      <c r="J718" s="6"/>
      <c r="K718" s="6"/>
      <c r="L718" s="6"/>
      <c r="M718" s="6"/>
      <c r="N718" s="6"/>
      <c r="O718" s="7"/>
    </row>
    <row r="719" spans="1:15" s="1" customFormat="1">
      <c r="C719" s="44">
        <f>IF(C694=6,4,IF(C693=5,1,IF(C692=4,0,0)))</f>
        <v>0</v>
      </c>
      <c r="D719" s="45" t="str">
        <f>IF(C719&gt;0,VLOOKUP(C719,C689:E694,2,FALSE),"")</f>
        <v/>
      </c>
      <c r="E719" s="46" t="str">
        <f>IF(C719&gt;0,VLOOKUP(C719,C689:E694,3,FALSE),"")</f>
        <v/>
      </c>
      <c r="F719" s="8"/>
      <c r="G719" s="9"/>
      <c r="H719" s="9"/>
      <c r="I719" s="9"/>
      <c r="J719" s="9"/>
      <c r="K719" s="9"/>
      <c r="L719" s="9"/>
      <c r="M719" s="9"/>
      <c r="N719" s="9"/>
      <c r="O719" s="10"/>
    </row>
    <row r="720" spans="1:15" s="11" customFormat="1" ht="10.5">
      <c r="C720" s="49"/>
      <c r="D720" s="50"/>
      <c r="E720" s="51"/>
      <c r="F720" s="12"/>
      <c r="G720" s="12"/>
      <c r="H720" s="12"/>
      <c r="I720" s="12"/>
      <c r="J720" s="12"/>
      <c r="K720" s="12"/>
      <c r="L720" s="12"/>
      <c r="M720" s="12"/>
      <c r="N720" s="12"/>
      <c r="O720" s="13"/>
    </row>
    <row r="721" spans="1:15" s="1" customFormat="1">
      <c r="A721" s="1">
        <v>9</v>
      </c>
      <c r="C721" s="41">
        <f>IF(C694=6,5,IF(C693=5,3,IF(C692=4,0,0)))</f>
        <v>0</v>
      </c>
      <c r="D721" s="42" t="str">
        <f>IF(C721&gt;0,VLOOKUP(C721,C689:E694,2,FALSE),"")</f>
        <v/>
      </c>
      <c r="E721" s="43" t="str">
        <f>IF(C721&gt;0,VLOOKUP(C721,C689:E694,3,FALSE),"")</f>
        <v/>
      </c>
      <c r="F721" s="5"/>
      <c r="G721" s="6"/>
      <c r="H721" s="6"/>
      <c r="I721" s="6"/>
      <c r="J721" s="6"/>
      <c r="K721" s="6"/>
      <c r="L721" s="6"/>
      <c r="M721" s="6"/>
      <c r="N721" s="6"/>
      <c r="O721" s="7"/>
    </row>
    <row r="722" spans="1:15" s="1" customFormat="1">
      <c r="C722" s="44">
        <f>IF(C694=6,3,IF(C693=5,5,IF(C692=4,0,0)))</f>
        <v>0</v>
      </c>
      <c r="D722" s="45" t="str">
        <f>IF(C722&gt;0,VLOOKUP(C722,C689:E694,2,FALSE),"")</f>
        <v/>
      </c>
      <c r="E722" s="46" t="str">
        <f>IF(C722&gt;0,VLOOKUP(C722,C689:E694,3,FALSE),"")</f>
        <v/>
      </c>
      <c r="F722" s="8"/>
      <c r="G722" s="9"/>
      <c r="H722" s="9"/>
      <c r="I722" s="9"/>
      <c r="J722" s="9"/>
      <c r="K722" s="9"/>
      <c r="L722" s="9"/>
      <c r="M722" s="9"/>
      <c r="N722" s="9"/>
      <c r="O722" s="10"/>
    </row>
    <row r="723" spans="1:15" s="11" customFormat="1" ht="10.5">
      <c r="C723" s="49"/>
      <c r="D723" s="50"/>
      <c r="E723" s="51"/>
      <c r="F723" s="12"/>
      <c r="G723" s="12"/>
      <c r="H723" s="12"/>
      <c r="I723" s="12"/>
      <c r="J723" s="12"/>
      <c r="K723" s="12"/>
      <c r="L723" s="12"/>
      <c r="M723" s="12"/>
      <c r="N723" s="12"/>
      <c r="O723" s="13"/>
    </row>
    <row r="724" spans="1:15" s="1" customFormat="1">
      <c r="A724" s="1">
        <v>10</v>
      </c>
      <c r="C724" s="41">
        <f>IF(C694=6,1,IF(C693=5,4,IF(C692=4,0,0)))</f>
        <v>0</v>
      </c>
      <c r="D724" s="42" t="str">
        <f>IF(C724&gt;0,VLOOKUP(C724,C689:E694,2,FALSE),"")</f>
        <v/>
      </c>
      <c r="E724" s="43" t="str">
        <f>IF(C724&gt;0,VLOOKUP(C724,C689:E694,3,FALSE),"")</f>
        <v/>
      </c>
      <c r="F724" s="5"/>
      <c r="G724" s="6"/>
      <c r="H724" s="6"/>
      <c r="I724" s="6"/>
      <c r="J724" s="6"/>
      <c r="K724" s="6"/>
      <c r="L724" s="6"/>
      <c r="M724" s="6"/>
      <c r="N724" s="6"/>
      <c r="O724" s="7"/>
    </row>
    <row r="725" spans="1:15" s="1" customFormat="1">
      <c r="C725" s="44">
        <f>IF(C694=6,6,IF(C693=5,2,IF(C692=4,0,0)))</f>
        <v>0</v>
      </c>
      <c r="D725" s="45" t="str">
        <f>IF(C725&gt;0,VLOOKUP(C725,C689:E694,2,FALSE),"")</f>
        <v/>
      </c>
      <c r="E725" s="46" t="str">
        <f>IF(C725&gt;0,VLOOKUP(C725,C689:E694,3,FALSE),"")</f>
        <v/>
      </c>
      <c r="F725" s="8"/>
      <c r="G725" s="9"/>
      <c r="H725" s="9"/>
      <c r="I725" s="9"/>
      <c r="J725" s="9"/>
      <c r="K725" s="9"/>
      <c r="L725" s="9"/>
      <c r="M725" s="9"/>
      <c r="N725" s="9"/>
      <c r="O725" s="10"/>
    </row>
    <row r="726" spans="1:15" s="11" customFormat="1" ht="10.5">
      <c r="C726" s="49"/>
      <c r="D726" s="50"/>
      <c r="E726" s="51"/>
      <c r="F726" s="12"/>
      <c r="G726" s="12"/>
      <c r="H726" s="12"/>
      <c r="I726" s="12"/>
      <c r="J726" s="12"/>
      <c r="K726" s="12"/>
      <c r="L726" s="12"/>
      <c r="M726" s="12"/>
      <c r="N726" s="12"/>
      <c r="O726" s="13"/>
    </row>
    <row r="727" spans="1:15" s="1" customFormat="1">
      <c r="A727" s="1">
        <v>11</v>
      </c>
      <c r="C727" s="41">
        <f>IF(C694=6,4,0)</f>
        <v>0</v>
      </c>
      <c r="D727" s="42" t="str">
        <f>IF(C727&gt;0,VLOOKUP(C727,C689:E694,2,FALSE),"")</f>
        <v/>
      </c>
      <c r="E727" s="43" t="str">
        <f>IF(C727&gt;0,VLOOKUP(C727,C689:E694,3,FALSE),"")</f>
        <v/>
      </c>
      <c r="F727" s="5"/>
      <c r="G727" s="6"/>
      <c r="H727" s="6"/>
      <c r="I727" s="6"/>
      <c r="J727" s="6"/>
      <c r="K727" s="6"/>
      <c r="L727" s="6"/>
      <c r="M727" s="6"/>
      <c r="N727" s="6"/>
      <c r="O727" s="7"/>
    </row>
    <row r="728" spans="1:15" s="1" customFormat="1">
      <c r="C728" s="44">
        <f>IF(C694=6,2,0)</f>
        <v>0</v>
      </c>
      <c r="D728" s="45" t="str">
        <f>IF(C728&gt;0,VLOOKUP(C728,C689:E694,2,FALSE),"")</f>
        <v/>
      </c>
      <c r="E728" s="46" t="str">
        <f>IF(C728&gt;0,VLOOKUP(C728,C689:E694,3,FALSE),"")</f>
        <v/>
      </c>
      <c r="F728" s="8"/>
      <c r="G728" s="9"/>
      <c r="H728" s="9"/>
      <c r="I728" s="9"/>
      <c r="J728" s="9"/>
      <c r="K728" s="9"/>
      <c r="L728" s="9"/>
      <c r="M728" s="9"/>
      <c r="N728" s="9"/>
      <c r="O728" s="10"/>
    </row>
    <row r="729" spans="1:15" s="11" customFormat="1" ht="10.5">
      <c r="C729" s="49"/>
      <c r="D729" s="50"/>
      <c r="E729" s="51"/>
      <c r="F729" s="12"/>
      <c r="G729" s="12"/>
      <c r="H729" s="12"/>
      <c r="I729" s="12"/>
      <c r="J729" s="12"/>
      <c r="K729" s="12"/>
      <c r="L729" s="12"/>
      <c r="M729" s="12"/>
      <c r="N729" s="12"/>
      <c r="O729" s="13"/>
    </row>
    <row r="730" spans="1:15" s="1" customFormat="1">
      <c r="A730" s="1">
        <v>12</v>
      </c>
      <c r="C730" s="41">
        <f>IF(C694=6,3,0)</f>
        <v>0</v>
      </c>
      <c r="D730" s="42" t="str">
        <f>IF(C730&gt;0,VLOOKUP(C730,C689:E694,2,FALSE),"")</f>
        <v/>
      </c>
      <c r="E730" s="43" t="str">
        <f>IF(C730&gt;0,VLOOKUP(C730,C689:E694,3,FALSE),"")</f>
        <v/>
      </c>
      <c r="F730" s="5"/>
      <c r="G730" s="6"/>
      <c r="H730" s="6"/>
      <c r="I730" s="6"/>
      <c r="J730" s="6"/>
      <c r="K730" s="6"/>
      <c r="L730" s="6"/>
      <c r="M730" s="6"/>
      <c r="N730" s="6"/>
      <c r="O730" s="7"/>
    </row>
    <row r="731" spans="1:15" s="1" customFormat="1" ht="13.5" customHeight="1">
      <c r="C731" s="44">
        <f>IF(C694=6,6,0)</f>
        <v>0</v>
      </c>
      <c r="D731" s="45" t="str">
        <f>IF(C731&gt;0,VLOOKUP(C731,C689:E694,2,FALSE),"")</f>
        <v/>
      </c>
      <c r="E731" s="46" t="str">
        <f>IF(C731&gt;0,VLOOKUP(C731,C689:E694,3,FALSE),"")</f>
        <v/>
      </c>
      <c r="F731" s="8"/>
      <c r="G731" s="9"/>
      <c r="H731" s="9"/>
      <c r="I731" s="9"/>
      <c r="J731" s="9"/>
      <c r="K731" s="9"/>
      <c r="L731" s="9"/>
      <c r="M731" s="9"/>
      <c r="N731" s="9"/>
      <c r="O731" s="10"/>
    </row>
    <row r="732" spans="1:15" s="11" customFormat="1" ht="10.5">
      <c r="C732" s="49"/>
      <c r="D732" s="50"/>
      <c r="E732" s="51"/>
      <c r="F732" s="12"/>
      <c r="G732" s="12"/>
      <c r="H732" s="12"/>
      <c r="I732" s="12"/>
      <c r="J732" s="12"/>
      <c r="K732" s="12"/>
      <c r="L732" s="12"/>
      <c r="M732" s="12"/>
      <c r="N732" s="12"/>
      <c r="O732" s="13"/>
    </row>
    <row r="733" spans="1:15" s="1" customFormat="1">
      <c r="A733" s="1">
        <v>13</v>
      </c>
      <c r="C733" s="41">
        <f>IF(C694=6,5,0)</f>
        <v>0</v>
      </c>
      <c r="D733" s="42" t="str">
        <f>IF(C733&gt;0,VLOOKUP(C733,C689:E694,2,FALSE),"")</f>
        <v/>
      </c>
      <c r="E733" s="43" t="str">
        <f>IF(C733&gt;0,VLOOKUP(C733,C689:E694,3,FALSE),"")</f>
        <v/>
      </c>
      <c r="F733" s="5"/>
      <c r="G733" s="6"/>
      <c r="H733" s="6"/>
      <c r="I733" s="6"/>
      <c r="J733" s="6"/>
      <c r="K733" s="6"/>
      <c r="L733" s="6"/>
      <c r="M733" s="6"/>
      <c r="N733" s="6"/>
      <c r="O733" s="7"/>
    </row>
    <row r="734" spans="1:15" s="1" customFormat="1">
      <c r="C734" s="44">
        <f>IF(C694=6,1,0)</f>
        <v>0</v>
      </c>
      <c r="D734" s="45" t="str">
        <f>IF(C734&gt;0,VLOOKUP(C734,C689:E694,2,FALSE),"")</f>
        <v/>
      </c>
      <c r="E734" s="46" t="str">
        <f>IF(C734&gt;0,VLOOKUP(C734,C689:E694,3,FALSE),"")</f>
        <v/>
      </c>
      <c r="F734" s="8"/>
      <c r="G734" s="9"/>
      <c r="H734" s="9"/>
      <c r="I734" s="9"/>
      <c r="J734" s="9"/>
      <c r="K734" s="9"/>
      <c r="L734" s="9"/>
      <c r="M734" s="9"/>
      <c r="N734" s="9"/>
      <c r="O734" s="10"/>
    </row>
    <row r="735" spans="1:15" s="11" customFormat="1" ht="10.5">
      <c r="C735" s="49"/>
      <c r="D735" s="50"/>
      <c r="E735" s="51"/>
      <c r="F735" s="12"/>
      <c r="G735" s="12"/>
      <c r="H735" s="12"/>
      <c r="I735" s="12"/>
      <c r="J735" s="12"/>
      <c r="K735" s="12"/>
      <c r="L735" s="12"/>
      <c r="M735" s="12"/>
      <c r="N735" s="12"/>
      <c r="O735" s="13"/>
    </row>
    <row r="736" spans="1:15" s="1" customFormat="1">
      <c r="A736" s="1">
        <v>14</v>
      </c>
      <c r="C736" s="41">
        <f>IF(C694=6,3,0)</f>
        <v>0</v>
      </c>
      <c r="D736" s="42" t="str">
        <f>IF(C736&gt;0,VLOOKUP(C736,C689:E694,2,FALSE),"")</f>
        <v/>
      </c>
      <c r="E736" s="43" t="str">
        <f>IF(C736&gt;0,VLOOKUP(C736,C689:E694,3,FALSE),"")</f>
        <v/>
      </c>
      <c r="F736" s="5"/>
      <c r="G736" s="6"/>
      <c r="H736" s="6"/>
      <c r="I736" s="6"/>
      <c r="J736" s="6"/>
      <c r="K736" s="6"/>
      <c r="L736" s="6"/>
      <c r="M736" s="6"/>
      <c r="N736" s="6"/>
      <c r="O736" s="7"/>
    </row>
    <row r="737" spans="1:16" s="1" customFormat="1">
      <c r="C737" s="44">
        <f>IF(C694=6,4,0)</f>
        <v>0</v>
      </c>
      <c r="D737" s="45" t="str">
        <f>IF(C737&gt;0,VLOOKUP(C737,C689:E694,2,FALSE),"")</f>
        <v/>
      </c>
      <c r="E737" s="46" t="str">
        <f>IF(C737&gt;0,VLOOKUP(C737,C689:E694,3,FALSE),"")</f>
        <v/>
      </c>
      <c r="F737" s="8"/>
      <c r="G737" s="9"/>
      <c r="H737" s="9"/>
      <c r="I737" s="9"/>
      <c r="J737" s="9"/>
      <c r="K737" s="9"/>
      <c r="L737" s="9"/>
      <c r="M737" s="9"/>
      <c r="N737" s="9"/>
      <c r="O737" s="10"/>
    </row>
    <row r="738" spans="1:16" s="11" customFormat="1" ht="10.5">
      <c r="C738" s="49"/>
      <c r="D738" s="50"/>
      <c r="E738" s="51"/>
      <c r="F738" s="12"/>
      <c r="G738" s="12"/>
      <c r="H738" s="12"/>
      <c r="I738" s="12"/>
      <c r="J738" s="12"/>
      <c r="K738" s="12"/>
      <c r="L738" s="12"/>
      <c r="M738" s="12"/>
      <c r="N738" s="12"/>
      <c r="O738" s="13"/>
    </row>
    <row r="739" spans="1:16" s="1" customFormat="1">
      <c r="A739" s="1">
        <v>15</v>
      </c>
      <c r="C739" s="41">
        <f>IF(C694=6,6,0)</f>
        <v>0</v>
      </c>
      <c r="D739" s="42" t="str">
        <f>IF(C739&gt;0,VLOOKUP(C739,C689:E694,2,FALSE),"")</f>
        <v/>
      </c>
      <c r="E739" s="43" t="str">
        <f>IF(C739&gt;0,VLOOKUP(C739,C689:E694,3,FALSE),"")</f>
        <v/>
      </c>
      <c r="F739" s="5"/>
      <c r="G739" s="6"/>
      <c r="H739" s="6"/>
      <c r="I739" s="6"/>
      <c r="J739" s="6"/>
      <c r="K739" s="6"/>
      <c r="L739" s="6"/>
      <c r="M739" s="6"/>
      <c r="N739" s="6"/>
      <c r="O739" s="7"/>
    </row>
    <row r="740" spans="1:16" s="1" customFormat="1">
      <c r="C740" s="44">
        <f>IF(C694=6,2,0)</f>
        <v>0</v>
      </c>
      <c r="D740" s="45" t="str">
        <f>IF(C740&gt;0,VLOOKUP(C740,C689:E694,2,FALSE),"")</f>
        <v/>
      </c>
      <c r="E740" s="46" t="str">
        <f>IF(C740&gt;0,VLOOKUP(C740,C689:E694,3,FALSE),"")</f>
        <v/>
      </c>
      <c r="F740" s="8"/>
      <c r="G740" s="9"/>
      <c r="H740" s="9"/>
      <c r="I740" s="9"/>
      <c r="J740" s="9"/>
      <c r="K740" s="9"/>
      <c r="L740" s="9"/>
      <c r="M740" s="9"/>
      <c r="N740" s="9"/>
      <c r="O740" s="10"/>
    </row>
    <row r="741" spans="1:16" s="104" customFormat="1" ht="10.5">
      <c r="C741" s="107"/>
      <c r="D741" s="52"/>
      <c r="E741" s="53"/>
      <c r="F741" s="108"/>
      <c r="G741" s="108"/>
      <c r="H741" s="108"/>
      <c r="I741" s="108"/>
      <c r="J741" s="108"/>
      <c r="K741" s="108"/>
      <c r="L741" s="108"/>
      <c r="M741" s="108"/>
      <c r="N741" s="108"/>
      <c r="O741" s="109"/>
    </row>
    <row r="742" spans="1:16" s="57" customFormat="1" ht="17.25">
      <c r="A742" s="321" t="str">
        <f>名簿!$A$1</f>
        <v>第9回川本杯はしまモアフェンシング大会</v>
      </c>
      <c r="B742" s="321"/>
      <c r="C742" s="321"/>
      <c r="D742" s="321"/>
      <c r="E742" s="321"/>
      <c r="F742" s="321"/>
      <c r="G742" s="321"/>
      <c r="H742" s="321"/>
      <c r="I742" s="321"/>
      <c r="J742" s="321"/>
      <c r="K742" s="268" t="s">
        <v>72</v>
      </c>
      <c r="L742" s="322" t="s">
        <v>73</v>
      </c>
      <c r="M742" s="322"/>
      <c r="N742" s="322"/>
      <c r="O742" s="323"/>
    </row>
    <row r="743" spans="1:16" s="58" customFormat="1" ht="14.25">
      <c r="A743" s="318" t="str">
        <f>"　"&amp;名簿!$A$2</f>
        <v>　中学男子</v>
      </c>
      <c r="B743" s="318"/>
      <c r="C743" s="318"/>
      <c r="D743" s="318"/>
      <c r="E743" s="318"/>
      <c r="F743" s="318"/>
      <c r="G743" s="318"/>
      <c r="H743" s="318"/>
      <c r="I743" s="318"/>
      <c r="J743" s="318"/>
      <c r="K743" s="269"/>
      <c r="L743" s="319" t="s">
        <v>74</v>
      </c>
      <c r="M743" s="319"/>
      <c r="N743" s="319"/>
      <c r="O743" s="320"/>
    </row>
    <row r="744" spans="1:16" s="58" customFormat="1" ht="14.25">
      <c r="A744" s="314" t="str">
        <f>"　　"&amp;名簿!$A$3</f>
        <v>　　1回戦</v>
      </c>
      <c r="B744" s="314"/>
      <c r="C744" s="314"/>
      <c r="D744" s="314"/>
      <c r="E744" s="314"/>
      <c r="K744" s="315">
        <f>名簿!$E$3</f>
        <v>43184</v>
      </c>
      <c r="L744" s="315"/>
      <c r="M744" s="315"/>
      <c r="N744" s="315"/>
      <c r="O744" s="315"/>
    </row>
    <row r="745" spans="1:16">
      <c r="A745" s="59" t="s">
        <v>57</v>
      </c>
      <c r="B745" s="60" t="s">
        <v>13</v>
      </c>
      <c r="C745" s="61" t="s">
        <v>0</v>
      </c>
      <c r="D745" s="62" t="s">
        <v>7</v>
      </c>
      <c r="E745" s="63" t="s">
        <v>8</v>
      </c>
      <c r="F745" s="64">
        <v>1</v>
      </c>
      <c r="G745" s="65">
        <v>2</v>
      </c>
      <c r="H745" s="65">
        <v>3</v>
      </c>
      <c r="I745" s="65">
        <v>4</v>
      </c>
      <c r="J745" s="65">
        <v>5</v>
      </c>
      <c r="K745" s="66">
        <v>6</v>
      </c>
      <c r="L745" s="67" t="s">
        <v>58</v>
      </c>
      <c r="M745" s="68" t="s">
        <v>59</v>
      </c>
      <c r="N745" s="316" t="s">
        <v>6</v>
      </c>
      <c r="O745" s="317"/>
      <c r="P745" s="69"/>
    </row>
    <row r="746" spans="1:16" ht="18" customHeight="1">
      <c r="A746" s="71">
        <f>'予選 Ｐ'!A83</f>
        <v>14</v>
      </c>
      <c r="B746" s="72">
        <f>'予選 Ｐ'!B83</f>
        <v>0</v>
      </c>
      <c r="C746" s="73" t="str">
        <f>'予選 Ｐ'!C83</f>
        <v/>
      </c>
      <c r="D746" s="34" t="str">
        <f>'予選 Ｐ'!E83</f>
        <v/>
      </c>
      <c r="E746" s="35" t="str">
        <f>'予選 Ｐ'!F83</f>
        <v/>
      </c>
      <c r="F746" s="74"/>
      <c r="G746" s="75"/>
      <c r="H746" s="75"/>
      <c r="I746" s="75"/>
      <c r="J746" s="75"/>
      <c r="K746" s="76"/>
      <c r="L746" s="77"/>
      <c r="M746" s="78"/>
      <c r="N746" s="79"/>
      <c r="O746" s="80"/>
      <c r="P746" s="81"/>
    </row>
    <row r="747" spans="1:16" ht="18" customHeight="1">
      <c r="A747" s="82" t="str">
        <f>'予選 Ｐ'!A84</f>
        <v/>
      </c>
      <c r="B747" s="83">
        <f>'予選 Ｐ'!B84</f>
        <v>0</v>
      </c>
      <c r="C747" s="84" t="str">
        <f>'予選 Ｐ'!C84</f>
        <v/>
      </c>
      <c r="D747" s="36" t="str">
        <f>'予選 Ｐ'!E84</f>
        <v/>
      </c>
      <c r="E747" s="35" t="str">
        <f>'予選 Ｐ'!F84</f>
        <v/>
      </c>
      <c r="F747" s="85"/>
      <c r="G747" s="86"/>
      <c r="H747" s="87"/>
      <c r="I747" s="87"/>
      <c r="J747" s="87"/>
      <c r="K747" s="88"/>
      <c r="L747" s="89"/>
      <c r="M747" s="90"/>
      <c r="N747" s="91"/>
      <c r="O747" s="92"/>
      <c r="P747" s="81"/>
    </row>
    <row r="748" spans="1:16" ht="18" customHeight="1">
      <c r="A748" s="82" t="str">
        <f>'予選 Ｐ'!A85</f>
        <v/>
      </c>
      <c r="B748" s="83">
        <f>'予選 Ｐ'!B85</f>
        <v>0</v>
      </c>
      <c r="C748" s="84" t="str">
        <f>'予選 Ｐ'!C85</f>
        <v/>
      </c>
      <c r="D748" s="36" t="str">
        <f>'予選 Ｐ'!E85</f>
        <v/>
      </c>
      <c r="E748" s="35" t="str">
        <f>'予選 Ｐ'!F85</f>
        <v/>
      </c>
      <c r="F748" s="85"/>
      <c r="G748" s="87"/>
      <c r="H748" s="86"/>
      <c r="I748" s="87"/>
      <c r="J748" s="87"/>
      <c r="K748" s="88"/>
      <c r="L748" s="89"/>
      <c r="M748" s="90"/>
      <c r="N748" s="91"/>
      <c r="O748" s="92"/>
      <c r="P748" s="81"/>
    </row>
    <row r="749" spans="1:16" ht="18" customHeight="1">
      <c r="A749" s="82" t="str">
        <f>'予選 Ｐ'!A86</f>
        <v/>
      </c>
      <c r="B749" s="83" t="str">
        <f>IF('予選 Ｐ'!B86="","",'予選 Ｐ'!B86)</f>
        <v/>
      </c>
      <c r="C749" s="84" t="str">
        <f>'予選 Ｐ'!C86</f>
        <v/>
      </c>
      <c r="D749" s="36" t="str">
        <f>'予選 Ｐ'!E86</f>
        <v/>
      </c>
      <c r="E749" s="35" t="str">
        <f>'予選 Ｐ'!F86</f>
        <v/>
      </c>
      <c r="F749" s="85"/>
      <c r="G749" s="87"/>
      <c r="H749" s="87"/>
      <c r="I749" s="86"/>
      <c r="J749" s="87"/>
      <c r="K749" s="88"/>
      <c r="L749" s="89"/>
      <c r="M749" s="90"/>
      <c r="N749" s="91"/>
      <c r="O749" s="92"/>
      <c r="P749" s="81"/>
    </row>
    <row r="750" spans="1:16" ht="18" customHeight="1">
      <c r="A750" s="82" t="str">
        <f>'予選 Ｐ'!A87</f>
        <v/>
      </c>
      <c r="B750" s="83" t="str">
        <f>IF('予選 Ｐ'!B87="","",'予選 Ｐ'!B87)</f>
        <v/>
      </c>
      <c r="C750" s="84" t="str">
        <f>'予選 Ｐ'!C87</f>
        <v/>
      </c>
      <c r="D750" s="36" t="str">
        <f>'予選 Ｐ'!E87</f>
        <v/>
      </c>
      <c r="E750" s="35" t="str">
        <f>'予選 Ｐ'!F87</f>
        <v/>
      </c>
      <c r="F750" s="85"/>
      <c r="G750" s="87"/>
      <c r="H750" s="87"/>
      <c r="I750" s="87"/>
      <c r="J750" s="86"/>
      <c r="K750" s="88"/>
      <c r="L750" s="89"/>
      <c r="M750" s="90"/>
      <c r="N750" s="91"/>
      <c r="O750" s="92"/>
      <c r="P750" s="81"/>
    </row>
    <row r="751" spans="1:16" ht="18" customHeight="1">
      <c r="A751" s="93" t="str">
        <f>'予選 Ｐ'!A88</f>
        <v/>
      </c>
      <c r="B751" s="94" t="str">
        <f>IF('予選 Ｐ'!B88="","",'予選 Ｐ'!B88)</f>
        <v/>
      </c>
      <c r="C751" s="95" t="str">
        <f>'予選 Ｐ'!C88</f>
        <v/>
      </c>
      <c r="D751" s="37" t="str">
        <f>'予選 Ｐ'!E88</f>
        <v/>
      </c>
      <c r="E751" s="96" t="str">
        <f>'予選 Ｐ'!F88</f>
        <v/>
      </c>
      <c r="F751" s="97"/>
      <c r="G751" s="98"/>
      <c r="H751" s="98"/>
      <c r="I751" s="98"/>
      <c r="J751" s="98"/>
      <c r="K751" s="99"/>
      <c r="L751" s="100"/>
      <c r="M751" s="101"/>
      <c r="N751" s="102"/>
      <c r="O751" s="103"/>
      <c r="P751" s="81"/>
    </row>
    <row r="752" spans="1:16" s="104" customFormat="1" ht="10.5">
      <c r="D752" s="105"/>
      <c r="E752" s="106"/>
    </row>
    <row r="753" spans="1:15" s="1" customFormat="1">
      <c r="C753" s="38" t="s">
        <v>37</v>
      </c>
      <c r="D753" s="39" t="s">
        <v>16</v>
      </c>
      <c r="E753" s="40" t="s">
        <v>8</v>
      </c>
      <c r="F753" s="2">
        <v>1</v>
      </c>
      <c r="G753" s="3">
        <v>2</v>
      </c>
      <c r="H753" s="3">
        <v>3</v>
      </c>
      <c r="I753" s="3">
        <v>4</v>
      </c>
      <c r="J753" s="3">
        <v>5</v>
      </c>
      <c r="K753" s="3">
        <v>6</v>
      </c>
      <c r="L753" s="3">
        <v>7</v>
      </c>
      <c r="M753" s="3">
        <v>8</v>
      </c>
      <c r="N753" s="3">
        <v>9</v>
      </c>
      <c r="O753" s="4" t="s">
        <v>5</v>
      </c>
    </row>
    <row r="754" spans="1:15" s="1" customFormat="1">
      <c r="A754" s="1">
        <v>1</v>
      </c>
      <c r="C754" s="41">
        <v>1</v>
      </c>
      <c r="D754" s="42" t="e">
        <f>IF(C754&gt;0,VLOOKUP(C754,C746:E751,2,FALSE),"")</f>
        <v>#N/A</v>
      </c>
      <c r="E754" s="43" t="e">
        <f>IF(C754&gt;0,VLOOKUP(C754,C746:E751,3,FALSE),"")</f>
        <v>#N/A</v>
      </c>
      <c r="F754" s="5"/>
      <c r="G754" s="6"/>
      <c r="H754" s="6"/>
      <c r="I754" s="6"/>
      <c r="J754" s="6"/>
      <c r="K754" s="6"/>
      <c r="L754" s="6"/>
      <c r="M754" s="6"/>
      <c r="N754" s="6"/>
      <c r="O754" s="7"/>
    </row>
    <row r="755" spans="1:15" s="1" customFormat="1">
      <c r="C755" s="44" t="b">
        <f>IF(C751=6,2,IF(C750=5,2,IF(C749=4,4,IF(C748=3,3))))</f>
        <v>0</v>
      </c>
      <c r="D755" s="45" t="e">
        <f>IF(C755&gt;0,VLOOKUP(C755,C746:E751,2,FALSE),"")</f>
        <v>#N/A</v>
      </c>
      <c r="E755" s="46" t="e">
        <f>IF(C755&gt;0,VLOOKUP(C755,C746:E751,3,FALSE),"")</f>
        <v>#N/A</v>
      </c>
      <c r="F755" s="8"/>
      <c r="G755" s="9"/>
      <c r="H755" s="9"/>
      <c r="I755" s="9"/>
      <c r="J755" s="9"/>
      <c r="K755" s="9"/>
      <c r="L755" s="9"/>
      <c r="M755" s="9"/>
      <c r="N755" s="9"/>
      <c r="O755" s="10"/>
    </row>
    <row r="756" spans="1:15" s="11" customFormat="1" ht="10.5">
      <c r="D756" s="47"/>
      <c r="E756" s="48"/>
    </row>
    <row r="757" spans="1:15" s="1" customFormat="1">
      <c r="A757" s="1">
        <v>2</v>
      </c>
      <c r="C757" s="41" t="b">
        <f>IF(C751=6,4,IF(C750=5,3,IF(C749=4,2,IF(C748=3,2))))</f>
        <v>0</v>
      </c>
      <c r="D757" s="42" t="e">
        <f>IF(C757&gt;0,VLOOKUP(C757,C746:E751,2,FALSE),"")</f>
        <v>#N/A</v>
      </c>
      <c r="E757" s="43" t="e">
        <f>IF(C757&gt;0,VLOOKUP(C757,C746:E751,3,FALSE),"")</f>
        <v>#N/A</v>
      </c>
      <c r="F757" s="5"/>
      <c r="G757" s="6"/>
      <c r="H757" s="6"/>
      <c r="I757" s="6"/>
      <c r="J757" s="6"/>
      <c r="K757" s="6"/>
      <c r="L757" s="6"/>
      <c r="M757" s="6"/>
      <c r="N757" s="6"/>
      <c r="O757" s="7"/>
    </row>
    <row r="758" spans="1:15" s="1" customFormat="1">
      <c r="C758" s="44" t="b">
        <f>IF(C751=6,5,IF(C750=5,4,IF(C749=4,3,IF(C748=3,3))))</f>
        <v>0</v>
      </c>
      <c r="D758" s="45" t="e">
        <f>IF(C758&gt;0,VLOOKUP(C758,C746:E751,2,FALSE),"")</f>
        <v>#N/A</v>
      </c>
      <c r="E758" s="46" t="e">
        <f>IF(C758&gt;0,VLOOKUP(C758,C746:E751,3,FALSE),"")</f>
        <v>#N/A</v>
      </c>
      <c r="F758" s="8"/>
      <c r="G758" s="9"/>
      <c r="H758" s="9"/>
      <c r="I758" s="9"/>
      <c r="J758" s="9"/>
      <c r="K758" s="9"/>
      <c r="L758" s="9"/>
      <c r="M758" s="9"/>
      <c r="N758" s="9"/>
      <c r="O758" s="10"/>
    </row>
    <row r="759" spans="1:15" s="11" customFormat="1" ht="10.5">
      <c r="D759" s="47"/>
      <c r="E759" s="48"/>
    </row>
    <row r="760" spans="1:15" s="1" customFormat="1">
      <c r="A760" s="1">
        <v>3</v>
      </c>
      <c r="C760" s="41" t="b">
        <f>IF(C751=6,2,IF(C750=5,5,IF(C749=4,1,IF(C748=3,1))))</f>
        <v>0</v>
      </c>
      <c r="D760" s="42" t="e">
        <f>IF(C760&gt;0,VLOOKUP(C760,C746:E751,2,FALSE),"")</f>
        <v>#N/A</v>
      </c>
      <c r="E760" s="43" t="e">
        <f>IF(C760&gt;0,VLOOKUP(C760,C746:E751,3,FALSE),"")</f>
        <v>#N/A</v>
      </c>
      <c r="F760" s="5"/>
      <c r="G760" s="6"/>
      <c r="H760" s="6"/>
      <c r="I760" s="6"/>
      <c r="J760" s="6"/>
      <c r="K760" s="6"/>
      <c r="L760" s="6"/>
      <c r="M760" s="6"/>
      <c r="N760" s="6"/>
      <c r="O760" s="7"/>
    </row>
    <row r="761" spans="1:15" s="1" customFormat="1">
      <c r="C761" s="44" t="b">
        <f>IF(C751=6,3,IF(C750=5,1,IF(C749=4,3,IF(C748=3,2))))</f>
        <v>0</v>
      </c>
      <c r="D761" s="45" t="e">
        <f>IF(C761&gt;0,VLOOKUP(C761,C746:E751,2,FALSE),"")</f>
        <v>#N/A</v>
      </c>
      <c r="E761" s="46" t="e">
        <f>IF(C761&gt;0,VLOOKUP(C761,C746:E751,3,FALSE),"")</f>
        <v>#N/A</v>
      </c>
      <c r="F761" s="8"/>
      <c r="G761" s="9"/>
      <c r="H761" s="9"/>
      <c r="I761" s="9"/>
      <c r="J761" s="9"/>
      <c r="K761" s="9"/>
      <c r="L761" s="9"/>
      <c r="M761" s="9"/>
      <c r="N761" s="9"/>
      <c r="O761" s="10"/>
    </row>
    <row r="762" spans="1:15" s="11" customFormat="1" ht="10.5">
      <c r="C762" s="49"/>
      <c r="D762" s="50"/>
      <c r="E762" s="51"/>
      <c r="F762" s="12"/>
      <c r="G762" s="12"/>
      <c r="H762" s="12"/>
      <c r="I762" s="12"/>
      <c r="J762" s="12"/>
      <c r="K762" s="12"/>
      <c r="L762" s="12"/>
      <c r="M762" s="12"/>
      <c r="N762" s="12"/>
      <c r="O762" s="13"/>
    </row>
    <row r="763" spans="1:15" s="1" customFormat="1">
      <c r="A763" s="1">
        <v>4</v>
      </c>
      <c r="C763" s="41">
        <f>IF(C751=6,5,IF(C750=5,2,IF(C749=4,2,IF(C748=3,0,0))))</f>
        <v>0</v>
      </c>
      <c r="D763" s="42" t="str">
        <f>IF(C763&gt;0,VLOOKUP(C763,C746:E751,2,FALSE),"")</f>
        <v/>
      </c>
      <c r="E763" s="43" t="str">
        <f>IF(C763&gt;0,VLOOKUP(C763,C746:E751,3,FALSE),"")</f>
        <v/>
      </c>
      <c r="F763" s="5"/>
      <c r="G763" s="6"/>
      <c r="H763" s="6"/>
      <c r="I763" s="6"/>
      <c r="J763" s="6"/>
      <c r="K763" s="6"/>
      <c r="L763" s="6"/>
      <c r="M763" s="6"/>
      <c r="N763" s="6"/>
      <c r="O763" s="7"/>
    </row>
    <row r="764" spans="1:15" s="1" customFormat="1">
      <c r="C764" s="44">
        <f>IF(C751=6,6,IF(C750=5,3,IF(C749=4,4,IF(C748=3,0,0))))</f>
        <v>0</v>
      </c>
      <c r="D764" s="45" t="str">
        <f>IF(C764&gt;0,VLOOKUP(C764,C746:E751,2,FALSE),"")</f>
        <v/>
      </c>
      <c r="E764" s="46" t="str">
        <f>IF(C764&gt;0,VLOOKUP(C764,C746:E751,3,FALSE),"")</f>
        <v/>
      </c>
      <c r="F764" s="8"/>
      <c r="G764" s="9"/>
      <c r="H764" s="9"/>
      <c r="I764" s="9"/>
      <c r="J764" s="9"/>
      <c r="K764" s="9"/>
      <c r="L764" s="9"/>
      <c r="M764" s="9"/>
      <c r="N764" s="9"/>
      <c r="O764" s="10"/>
    </row>
    <row r="765" spans="1:15" s="11" customFormat="1" ht="10.5">
      <c r="C765" s="49"/>
      <c r="D765" s="50"/>
      <c r="E765" s="51"/>
      <c r="F765" s="12"/>
      <c r="G765" s="12"/>
      <c r="H765" s="12"/>
      <c r="I765" s="12"/>
      <c r="J765" s="12"/>
      <c r="K765" s="12"/>
      <c r="L765" s="12"/>
      <c r="M765" s="12"/>
      <c r="N765" s="12"/>
      <c r="O765" s="13"/>
    </row>
    <row r="766" spans="1:15" s="1" customFormat="1">
      <c r="A766" s="1">
        <v>5</v>
      </c>
      <c r="C766" s="41">
        <f>IF(C751=6,3,IF(C750=5,5,IF(C749=4,3,IF(C748=3,0,0))))</f>
        <v>0</v>
      </c>
      <c r="D766" s="42" t="str">
        <f>IF(C766&gt;0,VLOOKUP(C766,C746:E751,2,FALSE),"")</f>
        <v/>
      </c>
      <c r="E766" s="43" t="str">
        <f>IF(C766&gt;0,VLOOKUP(C766,C746:E751,3,FALSE),"")</f>
        <v/>
      </c>
      <c r="F766" s="5"/>
      <c r="G766" s="6"/>
      <c r="H766" s="6"/>
      <c r="I766" s="6"/>
      <c r="J766" s="6"/>
      <c r="K766" s="6"/>
      <c r="L766" s="6"/>
      <c r="M766" s="6"/>
      <c r="N766" s="6"/>
      <c r="O766" s="7"/>
    </row>
    <row r="767" spans="1:15" s="1" customFormat="1">
      <c r="C767" s="44">
        <f>IF(C751=6,1,IF(C750=5,4,IF(C749=4,4,IF(C748=3,0,0))))</f>
        <v>0</v>
      </c>
      <c r="D767" s="45" t="str">
        <f>IF(C767&gt;0,VLOOKUP(C767,C746:E751,2,FALSE),"")</f>
        <v/>
      </c>
      <c r="E767" s="46" t="str">
        <f>IF(C767&gt;0,VLOOKUP(C767,C746:E751,3,FALSE),"")</f>
        <v/>
      </c>
      <c r="F767" s="8"/>
      <c r="G767" s="9"/>
      <c r="H767" s="9"/>
      <c r="I767" s="9"/>
      <c r="J767" s="9"/>
      <c r="K767" s="9"/>
      <c r="L767" s="9"/>
      <c r="M767" s="9"/>
      <c r="N767" s="9"/>
      <c r="O767" s="10"/>
    </row>
    <row r="768" spans="1:15" s="11" customFormat="1" ht="10.5">
      <c r="C768" s="49"/>
      <c r="D768" s="50"/>
      <c r="E768" s="51"/>
      <c r="F768" s="12"/>
      <c r="G768" s="12"/>
      <c r="H768" s="12"/>
      <c r="I768" s="12"/>
      <c r="J768" s="12"/>
      <c r="K768" s="12"/>
      <c r="L768" s="12"/>
      <c r="M768" s="12"/>
      <c r="N768" s="12"/>
      <c r="O768" s="13"/>
    </row>
    <row r="769" spans="1:15" s="1" customFormat="1">
      <c r="A769" s="1">
        <v>6</v>
      </c>
      <c r="C769" s="41">
        <f>IF(C751=6,6,IF(C750=5,1,IF(C749=4,1,IF(C748=3,0,0))))</f>
        <v>0</v>
      </c>
      <c r="D769" s="42" t="str">
        <f>IF(C769&gt;0,VLOOKUP(C769,C746:E751,2,FALSE),"")</f>
        <v/>
      </c>
      <c r="E769" s="43" t="str">
        <f>IF(C769&gt;0,VLOOKUP(C769,C746:E751,3,FALSE),"")</f>
        <v/>
      </c>
      <c r="F769" s="5"/>
      <c r="G769" s="6"/>
      <c r="H769" s="6"/>
      <c r="I769" s="6"/>
      <c r="J769" s="6"/>
      <c r="K769" s="6"/>
      <c r="L769" s="6"/>
      <c r="M769" s="6"/>
      <c r="N769" s="6"/>
      <c r="O769" s="7"/>
    </row>
    <row r="770" spans="1:15" s="1" customFormat="1">
      <c r="C770" s="44">
        <f>IF(C751=6,4,IF(C750=5,3,IF(C749=4,2,IF(C748=3,0,0))))</f>
        <v>0</v>
      </c>
      <c r="D770" s="45" t="str">
        <f>IF(C770&gt;0,VLOOKUP(C770,C746:E751,2,FALSE),"")</f>
        <v/>
      </c>
      <c r="E770" s="46" t="str">
        <f>IF(C770&gt;0,VLOOKUP(C770,C746:E751,3,FALSE),"")</f>
        <v/>
      </c>
      <c r="F770" s="8"/>
      <c r="G770" s="9"/>
      <c r="H770" s="9"/>
      <c r="I770" s="9"/>
      <c r="J770" s="9"/>
      <c r="K770" s="9"/>
      <c r="L770" s="9"/>
      <c r="M770" s="9"/>
      <c r="N770" s="9"/>
      <c r="O770" s="10"/>
    </row>
    <row r="771" spans="1:15" s="11" customFormat="1" ht="10.5">
      <c r="C771" s="49"/>
      <c r="D771" s="50"/>
      <c r="E771" s="51"/>
      <c r="F771" s="12"/>
      <c r="G771" s="12"/>
      <c r="H771" s="12"/>
      <c r="I771" s="12"/>
      <c r="J771" s="12"/>
      <c r="K771" s="12"/>
      <c r="L771" s="12"/>
      <c r="M771" s="12"/>
      <c r="N771" s="12"/>
      <c r="O771" s="13"/>
    </row>
    <row r="772" spans="1:15" s="1" customFormat="1">
      <c r="A772" s="1">
        <v>7</v>
      </c>
      <c r="C772" s="41">
        <f>IF(C751=6,2,IF(C750=5,2,IF(C749=4,0,0)))</f>
        <v>0</v>
      </c>
      <c r="D772" s="42" t="str">
        <f>IF(C772&gt;0,VLOOKUP(C772,C746:E751,2,FALSE),"")</f>
        <v/>
      </c>
      <c r="E772" s="43" t="str">
        <f>IF(C772&gt;0,VLOOKUP(C772,C746:E751,3,FALSE),"")</f>
        <v/>
      </c>
      <c r="F772" s="5"/>
      <c r="G772" s="6"/>
      <c r="H772" s="6"/>
      <c r="I772" s="6"/>
      <c r="J772" s="6"/>
      <c r="K772" s="6"/>
      <c r="L772" s="6"/>
      <c r="M772" s="6"/>
      <c r="N772" s="6"/>
      <c r="O772" s="7"/>
    </row>
    <row r="773" spans="1:15" s="1" customFormat="1">
      <c r="C773" s="44">
        <f>IF(C751=6,5,IF(C750=5,5,IF(C749=4,0,0)))</f>
        <v>0</v>
      </c>
      <c r="D773" s="45" t="str">
        <f>IF(C773&gt;0,VLOOKUP(C773,C746:E751,2,FALSE),"")</f>
        <v/>
      </c>
      <c r="E773" s="46" t="str">
        <f>IF(C773&gt;0,VLOOKUP(C773,C746:E751,3,FALSE),"")</f>
        <v/>
      </c>
      <c r="F773" s="8"/>
      <c r="G773" s="9"/>
      <c r="H773" s="9"/>
      <c r="I773" s="9"/>
      <c r="J773" s="9"/>
      <c r="K773" s="9"/>
      <c r="L773" s="9"/>
      <c r="M773" s="9"/>
      <c r="N773" s="9"/>
      <c r="O773" s="10"/>
    </row>
    <row r="774" spans="1:15" s="11" customFormat="1" ht="10.5">
      <c r="C774" s="49"/>
      <c r="D774" s="50"/>
      <c r="E774" s="51"/>
      <c r="F774" s="12"/>
      <c r="G774" s="12"/>
      <c r="H774" s="12"/>
      <c r="I774" s="12"/>
      <c r="J774" s="12"/>
      <c r="K774" s="12"/>
      <c r="L774" s="12"/>
      <c r="M774" s="12"/>
      <c r="N774" s="12"/>
      <c r="O774" s="13"/>
    </row>
    <row r="775" spans="1:15" s="1" customFormat="1">
      <c r="A775" s="1">
        <v>8</v>
      </c>
      <c r="C775" s="41">
        <f>IF(C751=6,1,IF(C750=5,4,IF(C749=4,0,0)))</f>
        <v>0</v>
      </c>
      <c r="D775" s="42" t="str">
        <f>IF(C775&gt;0,VLOOKUP(C775,C746:E751,2,FALSE),"")</f>
        <v/>
      </c>
      <c r="E775" s="43" t="str">
        <f>IF(C775&gt;0,VLOOKUP(C775,C746:E751,3,FALSE),"")</f>
        <v/>
      </c>
      <c r="F775" s="5"/>
      <c r="G775" s="6"/>
      <c r="H775" s="6"/>
      <c r="I775" s="6"/>
      <c r="J775" s="6"/>
      <c r="K775" s="6"/>
      <c r="L775" s="6"/>
      <c r="M775" s="6"/>
      <c r="N775" s="6"/>
      <c r="O775" s="7"/>
    </row>
    <row r="776" spans="1:15" s="1" customFormat="1">
      <c r="C776" s="44">
        <f>IF(C751=6,4,IF(C750=5,1,IF(C749=4,0,0)))</f>
        <v>0</v>
      </c>
      <c r="D776" s="45" t="str">
        <f>IF(C776&gt;0,VLOOKUP(C776,C746:E751,2,FALSE),"")</f>
        <v/>
      </c>
      <c r="E776" s="46" t="str">
        <f>IF(C776&gt;0,VLOOKUP(C776,C746:E751,3,FALSE),"")</f>
        <v/>
      </c>
      <c r="F776" s="8"/>
      <c r="G776" s="9"/>
      <c r="H776" s="9"/>
      <c r="I776" s="9"/>
      <c r="J776" s="9"/>
      <c r="K776" s="9"/>
      <c r="L776" s="9"/>
      <c r="M776" s="9"/>
      <c r="N776" s="9"/>
      <c r="O776" s="10"/>
    </row>
    <row r="777" spans="1:15" s="11" customFormat="1" ht="10.5">
      <c r="C777" s="49"/>
      <c r="D777" s="50"/>
      <c r="E777" s="51"/>
      <c r="F777" s="12"/>
      <c r="G777" s="12"/>
      <c r="H777" s="12"/>
      <c r="I777" s="12"/>
      <c r="J777" s="12"/>
      <c r="K777" s="12"/>
      <c r="L777" s="12"/>
      <c r="M777" s="12"/>
      <c r="N777" s="12"/>
      <c r="O777" s="13"/>
    </row>
    <row r="778" spans="1:15" s="1" customFormat="1">
      <c r="A778" s="1">
        <v>9</v>
      </c>
      <c r="C778" s="41">
        <f>IF(C751=6,5,IF(C750=5,3,IF(C749=4,0,0)))</f>
        <v>0</v>
      </c>
      <c r="D778" s="42" t="str">
        <f>IF(C778&gt;0,VLOOKUP(C778,C746:E751,2,FALSE),"")</f>
        <v/>
      </c>
      <c r="E778" s="43" t="str">
        <f>IF(C778&gt;0,VLOOKUP(C778,C746:E751,3,FALSE),"")</f>
        <v/>
      </c>
      <c r="F778" s="5"/>
      <c r="G778" s="6"/>
      <c r="H778" s="6"/>
      <c r="I778" s="6"/>
      <c r="J778" s="6"/>
      <c r="K778" s="6"/>
      <c r="L778" s="6"/>
      <c r="M778" s="6"/>
      <c r="N778" s="6"/>
      <c r="O778" s="7"/>
    </row>
    <row r="779" spans="1:15" s="1" customFormat="1">
      <c r="C779" s="44">
        <f>IF(C751=6,3,IF(C750=5,5,IF(C749=4,0,0)))</f>
        <v>0</v>
      </c>
      <c r="D779" s="45" t="str">
        <f>IF(C779&gt;0,VLOOKUP(C779,C746:E751,2,FALSE),"")</f>
        <v/>
      </c>
      <c r="E779" s="46" t="str">
        <f>IF(C779&gt;0,VLOOKUP(C779,C746:E751,3,FALSE),"")</f>
        <v/>
      </c>
      <c r="F779" s="8"/>
      <c r="G779" s="9"/>
      <c r="H779" s="9"/>
      <c r="I779" s="9"/>
      <c r="J779" s="9"/>
      <c r="K779" s="9"/>
      <c r="L779" s="9"/>
      <c r="M779" s="9"/>
      <c r="N779" s="9"/>
      <c r="O779" s="10"/>
    </row>
    <row r="780" spans="1:15" s="11" customFormat="1" ht="10.5">
      <c r="C780" s="49"/>
      <c r="D780" s="50"/>
      <c r="E780" s="51"/>
      <c r="F780" s="12"/>
      <c r="G780" s="12"/>
      <c r="H780" s="12"/>
      <c r="I780" s="12"/>
      <c r="J780" s="12"/>
      <c r="K780" s="12"/>
      <c r="L780" s="12"/>
      <c r="M780" s="12"/>
      <c r="N780" s="12"/>
      <c r="O780" s="13"/>
    </row>
    <row r="781" spans="1:15" s="1" customFormat="1">
      <c r="A781" s="1">
        <v>10</v>
      </c>
      <c r="C781" s="41">
        <f>IF(C751=6,1,IF(C750=5,4,IF(C749=4,0,0)))</f>
        <v>0</v>
      </c>
      <c r="D781" s="42" t="str">
        <f>IF(C781&gt;0,VLOOKUP(C781,C746:E751,2,FALSE),"")</f>
        <v/>
      </c>
      <c r="E781" s="43" t="str">
        <f>IF(C781&gt;0,VLOOKUP(C781,C746:E751,3,FALSE),"")</f>
        <v/>
      </c>
      <c r="F781" s="5"/>
      <c r="G781" s="6"/>
      <c r="H781" s="6"/>
      <c r="I781" s="6"/>
      <c r="J781" s="6"/>
      <c r="K781" s="6"/>
      <c r="L781" s="6"/>
      <c r="M781" s="6"/>
      <c r="N781" s="6"/>
      <c r="O781" s="7"/>
    </row>
    <row r="782" spans="1:15" s="1" customFormat="1">
      <c r="C782" s="44">
        <f>IF(C751=6,6,IF(C750=5,2,IF(C749=4,0,0)))</f>
        <v>0</v>
      </c>
      <c r="D782" s="45" t="str">
        <f>IF(C782&gt;0,VLOOKUP(C782,C746:E751,2,FALSE),"")</f>
        <v/>
      </c>
      <c r="E782" s="46" t="str">
        <f>IF(C782&gt;0,VLOOKUP(C782,C746:E751,3,FALSE),"")</f>
        <v/>
      </c>
      <c r="F782" s="8"/>
      <c r="G782" s="9"/>
      <c r="H782" s="9"/>
      <c r="I782" s="9"/>
      <c r="J782" s="9"/>
      <c r="K782" s="9"/>
      <c r="L782" s="9"/>
      <c r="M782" s="9"/>
      <c r="N782" s="9"/>
      <c r="O782" s="10"/>
    </row>
    <row r="783" spans="1:15" s="11" customFormat="1" ht="10.5">
      <c r="C783" s="49"/>
      <c r="D783" s="50"/>
      <c r="E783" s="51"/>
      <c r="F783" s="12"/>
      <c r="G783" s="12"/>
      <c r="H783" s="12"/>
      <c r="I783" s="12"/>
      <c r="J783" s="12"/>
      <c r="K783" s="12"/>
      <c r="L783" s="12"/>
      <c r="M783" s="12"/>
      <c r="N783" s="12"/>
      <c r="O783" s="13"/>
    </row>
    <row r="784" spans="1:15" s="1" customFormat="1">
      <c r="A784" s="1">
        <v>11</v>
      </c>
      <c r="C784" s="41">
        <f>IF(C751=6,4,0)</f>
        <v>0</v>
      </c>
      <c r="D784" s="42" t="str">
        <f>IF(C784&gt;0,VLOOKUP(C784,C746:E751,2,FALSE),"")</f>
        <v/>
      </c>
      <c r="E784" s="43" t="str">
        <f>IF(C784&gt;0,VLOOKUP(C784,C746:E751,3,FALSE),"")</f>
        <v/>
      </c>
      <c r="F784" s="5"/>
      <c r="G784" s="6"/>
      <c r="H784" s="6"/>
      <c r="I784" s="6"/>
      <c r="J784" s="6"/>
      <c r="K784" s="6"/>
      <c r="L784" s="6"/>
      <c r="M784" s="6"/>
      <c r="N784" s="6"/>
      <c r="O784" s="7"/>
    </row>
    <row r="785" spans="1:15" s="1" customFormat="1">
      <c r="C785" s="44">
        <f>IF(C751=6,2,0)</f>
        <v>0</v>
      </c>
      <c r="D785" s="45" t="str">
        <f>IF(C785&gt;0,VLOOKUP(C785,C746:E751,2,FALSE),"")</f>
        <v/>
      </c>
      <c r="E785" s="46" t="str">
        <f>IF(C785&gt;0,VLOOKUP(C785,C746:E751,3,FALSE),"")</f>
        <v/>
      </c>
      <c r="F785" s="8"/>
      <c r="G785" s="9"/>
      <c r="H785" s="9"/>
      <c r="I785" s="9"/>
      <c r="J785" s="9"/>
      <c r="K785" s="9"/>
      <c r="L785" s="9"/>
      <c r="M785" s="9"/>
      <c r="N785" s="9"/>
      <c r="O785" s="10"/>
    </row>
    <row r="786" spans="1:15" s="11" customFormat="1" ht="10.5">
      <c r="C786" s="49"/>
      <c r="D786" s="50"/>
      <c r="E786" s="51"/>
      <c r="F786" s="12"/>
      <c r="G786" s="12"/>
      <c r="H786" s="12"/>
      <c r="I786" s="12"/>
      <c r="J786" s="12"/>
      <c r="K786" s="12"/>
      <c r="L786" s="12"/>
      <c r="M786" s="12"/>
      <c r="N786" s="12"/>
      <c r="O786" s="13"/>
    </row>
    <row r="787" spans="1:15" s="1" customFormat="1">
      <c r="A787" s="1">
        <v>12</v>
      </c>
      <c r="C787" s="41">
        <f>IF(C751=6,3,0)</f>
        <v>0</v>
      </c>
      <c r="D787" s="42" t="str">
        <f>IF(C787&gt;0,VLOOKUP(C787,C746:E751,2,FALSE),"")</f>
        <v/>
      </c>
      <c r="E787" s="43" t="str">
        <f>IF(C787&gt;0,VLOOKUP(C787,C746:E751,3,FALSE),"")</f>
        <v/>
      </c>
      <c r="F787" s="5"/>
      <c r="G787" s="6"/>
      <c r="H787" s="6"/>
      <c r="I787" s="6"/>
      <c r="J787" s="6"/>
      <c r="K787" s="6"/>
      <c r="L787" s="6"/>
      <c r="M787" s="6"/>
      <c r="N787" s="6"/>
      <c r="O787" s="7"/>
    </row>
    <row r="788" spans="1:15" s="1" customFormat="1" ht="13.5" customHeight="1">
      <c r="C788" s="44">
        <f>IF(C751=6,6,0)</f>
        <v>0</v>
      </c>
      <c r="D788" s="45" t="str">
        <f>IF(C788&gt;0,VLOOKUP(C788,C746:E751,2,FALSE),"")</f>
        <v/>
      </c>
      <c r="E788" s="46" t="str">
        <f>IF(C788&gt;0,VLOOKUP(C788,C746:E751,3,FALSE),"")</f>
        <v/>
      </c>
      <c r="F788" s="8"/>
      <c r="G788" s="9"/>
      <c r="H788" s="9"/>
      <c r="I788" s="9"/>
      <c r="J788" s="9"/>
      <c r="K788" s="9"/>
      <c r="L788" s="9"/>
      <c r="M788" s="9"/>
      <c r="N788" s="9"/>
      <c r="O788" s="10"/>
    </row>
    <row r="789" spans="1:15" s="11" customFormat="1" ht="10.5">
      <c r="C789" s="49"/>
      <c r="D789" s="50"/>
      <c r="E789" s="51"/>
      <c r="F789" s="12"/>
      <c r="G789" s="12"/>
      <c r="H789" s="12"/>
      <c r="I789" s="12"/>
      <c r="J789" s="12"/>
      <c r="K789" s="12"/>
      <c r="L789" s="12"/>
      <c r="M789" s="12"/>
      <c r="N789" s="12"/>
      <c r="O789" s="13"/>
    </row>
    <row r="790" spans="1:15" s="1" customFormat="1">
      <c r="A790" s="1">
        <v>13</v>
      </c>
      <c r="C790" s="41">
        <f>IF(C751=6,5,0)</f>
        <v>0</v>
      </c>
      <c r="D790" s="42" t="str">
        <f>IF(C790&gt;0,VLOOKUP(C790,C746:E751,2,FALSE),"")</f>
        <v/>
      </c>
      <c r="E790" s="43" t="str">
        <f>IF(C790&gt;0,VLOOKUP(C790,C746:E751,3,FALSE),"")</f>
        <v/>
      </c>
      <c r="F790" s="5"/>
      <c r="G790" s="6"/>
      <c r="H790" s="6"/>
      <c r="I790" s="6"/>
      <c r="J790" s="6"/>
      <c r="K790" s="6"/>
      <c r="L790" s="6"/>
      <c r="M790" s="6"/>
      <c r="N790" s="6"/>
      <c r="O790" s="7"/>
    </row>
    <row r="791" spans="1:15" s="1" customFormat="1">
      <c r="C791" s="44">
        <f>IF(C751=6,1,0)</f>
        <v>0</v>
      </c>
      <c r="D791" s="45" t="str">
        <f>IF(C791&gt;0,VLOOKUP(C791,C746:E751,2,FALSE),"")</f>
        <v/>
      </c>
      <c r="E791" s="46" t="str">
        <f>IF(C791&gt;0,VLOOKUP(C791,C746:E751,3,FALSE),"")</f>
        <v/>
      </c>
      <c r="F791" s="8"/>
      <c r="G791" s="9"/>
      <c r="H791" s="9"/>
      <c r="I791" s="9"/>
      <c r="J791" s="9"/>
      <c r="K791" s="9"/>
      <c r="L791" s="9"/>
      <c r="M791" s="9"/>
      <c r="N791" s="9"/>
      <c r="O791" s="10"/>
    </row>
    <row r="792" spans="1:15" s="11" customFormat="1" ht="10.5">
      <c r="C792" s="49"/>
      <c r="D792" s="50"/>
      <c r="E792" s="51"/>
      <c r="F792" s="12"/>
      <c r="G792" s="12"/>
      <c r="H792" s="12"/>
      <c r="I792" s="12"/>
      <c r="J792" s="12"/>
      <c r="K792" s="12"/>
      <c r="L792" s="12"/>
      <c r="M792" s="12"/>
      <c r="N792" s="12"/>
      <c r="O792" s="13"/>
    </row>
    <row r="793" spans="1:15" s="1" customFormat="1">
      <c r="A793" s="1">
        <v>14</v>
      </c>
      <c r="C793" s="41">
        <f>IF(C751=6,3,0)</f>
        <v>0</v>
      </c>
      <c r="D793" s="42" t="str">
        <f>IF(C793&gt;0,VLOOKUP(C793,C746:E751,2,FALSE),"")</f>
        <v/>
      </c>
      <c r="E793" s="43" t="str">
        <f>IF(C793&gt;0,VLOOKUP(C793,C746:E751,3,FALSE),"")</f>
        <v/>
      </c>
      <c r="F793" s="5"/>
      <c r="G793" s="6"/>
      <c r="H793" s="6"/>
      <c r="I793" s="6"/>
      <c r="J793" s="6"/>
      <c r="K793" s="6"/>
      <c r="L793" s="6"/>
      <c r="M793" s="6"/>
      <c r="N793" s="6"/>
      <c r="O793" s="7"/>
    </row>
    <row r="794" spans="1:15" s="1" customFormat="1">
      <c r="C794" s="44">
        <f>IF(C751=6,4,0)</f>
        <v>0</v>
      </c>
      <c r="D794" s="45" t="str">
        <f>IF(C794&gt;0,VLOOKUP(C794,C746:E751,2,FALSE),"")</f>
        <v/>
      </c>
      <c r="E794" s="46" t="str">
        <f>IF(C794&gt;0,VLOOKUP(C794,C746:E751,3,FALSE),"")</f>
        <v/>
      </c>
      <c r="F794" s="8"/>
      <c r="G794" s="9"/>
      <c r="H794" s="9"/>
      <c r="I794" s="9"/>
      <c r="J794" s="9"/>
      <c r="K794" s="9"/>
      <c r="L794" s="9"/>
      <c r="M794" s="9"/>
      <c r="N794" s="9"/>
      <c r="O794" s="10"/>
    </row>
    <row r="795" spans="1:15" s="11" customFormat="1" ht="10.5">
      <c r="C795" s="49"/>
      <c r="D795" s="50"/>
      <c r="E795" s="51"/>
      <c r="F795" s="12"/>
      <c r="G795" s="12"/>
      <c r="H795" s="12"/>
      <c r="I795" s="12"/>
      <c r="J795" s="12"/>
      <c r="K795" s="12"/>
      <c r="L795" s="12"/>
      <c r="M795" s="12"/>
      <c r="N795" s="12"/>
      <c r="O795" s="13"/>
    </row>
    <row r="796" spans="1:15" s="1" customFormat="1">
      <c r="A796" s="1">
        <v>15</v>
      </c>
      <c r="C796" s="41">
        <f>IF(C751=6,6,0)</f>
        <v>0</v>
      </c>
      <c r="D796" s="42" t="str">
        <f>IF(C796&gt;0,VLOOKUP(C796,C746:E751,2,FALSE),"")</f>
        <v/>
      </c>
      <c r="E796" s="43" t="str">
        <f>IF(C796&gt;0,VLOOKUP(C796,C746:E751,3,FALSE),"")</f>
        <v/>
      </c>
      <c r="F796" s="5"/>
      <c r="G796" s="6"/>
      <c r="H796" s="6"/>
      <c r="I796" s="6"/>
      <c r="J796" s="6"/>
      <c r="K796" s="6"/>
      <c r="L796" s="6"/>
      <c r="M796" s="6"/>
      <c r="N796" s="6"/>
      <c r="O796" s="7"/>
    </row>
    <row r="797" spans="1:15" s="1" customFormat="1">
      <c r="C797" s="44">
        <f>IF(C751=6,2,0)</f>
        <v>0</v>
      </c>
      <c r="D797" s="45" t="str">
        <f>IF(C797&gt;0,VLOOKUP(C797,C746:E751,2,FALSE),"")</f>
        <v/>
      </c>
      <c r="E797" s="46" t="str">
        <f>IF(C797&gt;0,VLOOKUP(C797,C746:E751,3,FALSE),"")</f>
        <v/>
      </c>
      <c r="F797" s="8"/>
      <c r="G797" s="9"/>
      <c r="H797" s="9"/>
      <c r="I797" s="9"/>
      <c r="J797" s="9"/>
      <c r="K797" s="9"/>
      <c r="L797" s="9"/>
      <c r="M797" s="9"/>
      <c r="N797" s="9"/>
      <c r="O797" s="10"/>
    </row>
    <row r="798" spans="1:15" s="104" customFormat="1" ht="10.5">
      <c r="C798" s="107"/>
      <c r="D798" s="52"/>
      <c r="E798" s="53"/>
      <c r="F798" s="108"/>
      <c r="G798" s="108"/>
      <c r="H798" s="108"/>
      <c r="I798" s="108"/>
      <c r="J798" s="108"/>
      <c r="K798" s="108"/>
      <c r="L798" s="108"/>
      <c r="M798" s="108"/>
      <c r="N798" s="108"/>
      <c r="O798" s="109"/>
    </row>
    <row r="799" spans="1:15" s="57" customFormat="1" ht="17.25">
      <c r="A799" s="321" t="str">
        <f>名簿!$A$1</f>
        <v>第9回川本杯はしまモアフェンシング大会</v>
      </c>
      <c r="B799" s="321"/>
      <c r="C799" s="321"/>
      <c r="D799" s="321"/>
      <c r="E799" s="321"/>
      <c r="F799" s="321"/>
      <c r="G799" s="321"/>
      <c r="H799" s="321"/>
      <c r="I799" s="321"/>
      <c r="J799" s="321"/>
      <c r="K799" s="268" t="s">
        <v>72</v>
      </c>
      <c r="L799" s="322" t="s">
        <v>73</v>
      </c>
      <c r="M799" s="322"/>
      <c r="N799" s="322"/>
      <c r="O799" s="323"/>
    </row>
    <row r="800" spans="1:15" s="58" customFormat="1" ht="14.25">
      <c r="A800" s="318" t="str">
        <f>"　"&amp;名簿!$A$2</f>
        <v>　中学男子</v>
      </c>
      <c r="B800" s="318"/>
      <c r="C800" s="318"/>
      <c r="D800" s="318"/>
      <c r="E800" s="318"/>
      <c r="F800" s="318"/>
      <c r="G800" s="318"/>
      <c r="H800" s="318"/>
      <c r="I800" s="318"/>
      <c r="J800" s="318"/>
      <c r="K800" s="269"/>
      <c r="L800" s="319" t="s">
        <v>74</v>
      </c>
      <c r="M800" s="319"/>
      <c r="N800" s="319"/>
      <c r="O800" s="320"/>
    </row>
    <row r="801" spans="1:16" s="58" customFormat="1" ht="14.25">
      <c r="A801" s="314" t="str">
        <f>"　　"&amp;名簿!$A$3</f>
        <v>　　1回戦</v>
      </c>
      <c r="B801" s="314"/>
      <c r="C801" s="314"/>
      <c r="D801" s="314"/>
      <c r="E801" s="314"/>
      <c r="K801" s="315">
        <f>名簿!$E$3</f>
        <v>43184</v>
      </c>
      <c r="L801" s="315"/>
      <c r="M801" s="315"/>
      <c r="N801" s="315"/>
      <c r="O801" s="315"/>
    </row>
    <row r="802" spans="1:16">
      <c r="A802" s="59" t="s">
        <v>57</v>
      </c>
      <c r="B802" s="60" t="s">
        <v>13</v>
      </c>
      <c r="C802" s="61" t="s">
        <v>0</v>
      </c>
      <c r="D802" s="62" t="s">
        <v>7</v>
      </c>
      <c r="E802" s="63" t="s">
        <v>8</v>
      </c>
      <c r="F802" s="64">
        <v>1</v>
      </c>
      <c r="G802" s="65">
        <v>2</v>
      </c>
      <c r="H802" s="65">
        <v>3</v>
      </c>
      <c r="I802" s="65">
        <v>4</v>
      </c>
      <c r="J802" s="65">
        <v>5</v>
      </c>
      <c r="K802" s="66">
        <v>6</v>
      </c>
      <c r="L802" s="67" t="s">
        <v>58</v>
      </c>
      <c r="M802" s="68" t="s">
        <v>59</v>
      </c>
      <c r="N802" s="316" t="s">
        <v>6</v>
      </c>
      <c r="O802" s="317"/>
      <c r="P802" s="69"/>
    </row>
    <row r="803" spans="1:16" ht="18" customHeight="1">
      <c r="A803" s="71">
        <f>'予選 Ｐ'!A89</f>
        <v>15</v>
      </c>
      <c r="B803" s="72">
        <f>'予選 Ｐ'!B89</f>
        <v>0</v>
      </c>
      <c r="C803" s="73" t="str">
        <f>'予選 Ｐ'!C89</f>
        <v/>
      </c>
      <c r="D803" s="34" t="str">
        <f>'予選 Ｐ'!E89</f>
        <v/>
      </c>
      <c r="E803" s="35" t="str">
        <f>'予選 Ｐ'!F89</f>
        <v/>
      </c>
      <c r="F803" s="74"/>
      <c r="G803" s="75"/>
      <c r="H803" s="75"/>
      <c r="I803" s="75"/>
      <c r="J803" s="75"/>
      <c r="K803" s="76"/>
      <c r="L803" s="77"/>
      <c r="M803" s="78"/>
      <c r="N803" s="79"/>
      <c r="O803" s="80"/>
      <c r="P803" s="81"/>
    </row>
    <row r="804" spans="1:16" ht="18" customHeight="1">
      <c r="A804" s="82" t="str">
        <f>'予選 Ｐ'!A90</f>
        <v/>
      </c>
      <c r="B804" s="83">
        <f>'予選 Ｐ'!B90</f>
        <v>0</v>
      </c>
      <c r="C804" s="84" t="str">
        <f>'予選 Ｐ'!C90</f>
        <v/>
      </c>
      <c r="D804" s="36" t="str">
        <f>'予選 Ｐ'!E90</f>
        <v/>
      </c>
      <c r="E804" s="35" t="str">
        <f>'予選 Ｐ'!F90</f>
        <v/>
      </c>
      <c r="F804" s="85"/>
      <c r="G804" s="86"/>
      <c r="H804" s="87"/>
      <c r="I804" s="87"/>
      <c r="J804" s="87"/>
      <c r="K804" s="88"/>
      <c r="L804" s="89"/>
      <c r="M804" s="90"/>
      <c r="N804" s="91"/>
      <c r="O804" s="92"/>
      <c r="P804" s="81"/>
    </row>
    <row r="805" spans="1:16" ht="18" customHeight="1">
      <c r="A805" s="82" t="str">
        <f>'予選 Ｐ'!A91</f>
        <v/>
      </c>
      <c r="B805" s="83">
        <f>'予選 Ｐ'!B91</f>
        <v>0</v>
      </c>
      <c r="C805" s="84" t="str">
        <f>'予選 Ｐ'!C91</f>
        <v/>
      </c>
      <c r="D805" s="36" t="str">
        <f>'予選 Ｐ'!E91</f>
        <v/>
      </c>
      <c r="E805" s="35" t="str">
        <f>'予選 Ｐ'!F91</f>
        <v/>
      </c>
      <c r="F805" s="85"/>
      <c r="G805" s="87"/>
      <c r="H805" s="86"/>
      <c r="I805" s="87"/>
      <c r="J805" s="87"/>
      <c r="K805" s="88"/>
      <c r="L805" s="89"/>
      <c r="M805" s="90"/>
      <c r="N805" s="91"/>
      <c r="O805" s="92"/>
      <c r="P805" s="81"/>
    </row>
    <row r="806" spans="1:16" ht="18" customHeight="1">
      <c r="A806" s="82" t="str">
        <f>'予選 Ｐ'!A92</f>
        <v/>
      </c>
      <c r="B806" s="83" t="str">
        <f>IF('予選 Ｐ'!B92="","",'予選 Ｐ'!B92)</f>
        <v/>
      </c>
      <c r="C806" s="84" t="str">
        <f>'予選 Ｐ'!C92</f>
        <v/>
      </c>
      <c r="D806" s="36" t="str">
        <f>'予選 Ｐ'!E92</f>
        <v/>
      </c>
      <c r="E806" s="35" t="str">
        <f>'予選 Ｐ'!F92</f>
        <v/>
      </c>
      <c r="F806" s="85"/>
      <c r="G806" s="87"/>
      <c r="H806" s="87"/>
      <c r="I806" s="86"/>
      <c r="J806" s="87"/>
      <c r="K806" s="88"/>
      <c r="L806" s="89"/>
      <c r="M806" s="90"/>
      <c r="N806" s="91"/>
      <c r="O806" s="92"/>
      <c r="P806" s="81"/>
    </row>
    <row r="807" spans="1:16" ht="18" customHeight="1">
      <c r="A807" s="82" t="str">
        <f>'予選 Ｐ'!A93</f>
        <v/>
      </c>
      <c r="B807" s="83" t="str">
        <f>IF('予選 Ｐ'!B93="","",'予選 Ｐ'!B93)</f>
        <v/>
      </c>
      <c r="C807" s="84" t="str">
        <f>'予選 Ｐ'!C93</f>
        <v/>
      </c>
      <c r="D807" s="36" t="str">
        <f>'予選 Ｐ'!E93</f>
        <v/>
      </c>
      <c r="E807" s="35" t="str">
        <f>'予選 Ｐ'!F93</f>
        <v/>
      </c>
      <c r="F807" s="85"/>
      <c r="G807" s="87"/>
      <c r="H807" s="87"/>
      <c r="I807" s="87"/>
      <c r="J807" s="86"/>
      <c r="K807" s="88"/>
      <c r="L807" s="89"/>
      <c r="M807" s="90"/>
      <c r="N807" s="91"/>
      <c r="O807" s="92"/>
      <c r="P807" s="81"/>
    </row>
    <row r="808" spans="1:16" ht="18" customHeight="1">
      <c r="A808" s="93" t="str">
        <f>'予選 Ｐ'!A94</f>
        <v/>
      </c>
      <c r="B808" s="94" t="str">
        <f>IF('予選 Ｐ'!B94="","",'予選 Ｐ'!B94)</f>
        <v/>
      </c>
      <c r="C808" s="95" t="str">
        <f>'予選 Ｐ'!C94</f>
        <v/>
      </c>
      <c r="D808" s="37" t="str">
        <f>'予選 Ｐ'!E94</f>
        <v/>
      </c>
      <c r="E808" s="96" t="str">
        <f>'予選 Ｐ'!F94</f>
        <v/>
      </c>
      <c r="F808" s="97"/>
      <c r="G808" s="98"/>
      <c r="H808" s="98"/>
      <c r="I808" s="98"/>
      <c r="J808" s="98"/>
      <c r="K808" s="99"/>
      <c r="L808" s="100"/>
      <c r="M808" s="101"/>
      <c r="N808" s="102"/>
      <c r="O808" s="103"/>
      <c r="P808" s="81"/>
    </row>
    <row r="809" spans="1:16" s="104" customFormat="1" ht="10.5">
      <c r="D809" s="105"/>
      <c r="E809" s="106"/>
    </row>
    <row r="810" spans="1:16" s="1" customFormat="1">
      <c r="C810" s="38" t="s">
        <v>37</v>
      </c>
      <c r="D810" s="39" t="s">
        <v>16</v>
      </c>
      <c r="E810" s="40" t="s">
        <v>8</v>
      </c>
      <c r="F810" s="2">
        <v>1</v>
      </c>
      <c r="G810" s="3">
        <v>2</v>
      </c>
      <c r="H810" s="3">
        <v>3</v>
      </c>
      <c r="I810" s="3">
        <v>4</v>
      </c>
      <c r="J810" s="3">
        <v>5</v>
      </c>
      <c r="K810" s="3">
        <v>6</v>
      </c>
      <c r="L810" s="3">
        <v>7</v>
      </c>
      <c r="M810" s="3">
        <v>8</v>
      </c>
      <c r="N810" s="3">
        <v>9</v>
      </c>
      <c r="O810" s="4" t="s">
        <v>5</v>
      </c>
    </row>
    <row r="811" spans="1:16" s="1" customFormat="1">
      <c r="A811" s="1">
        <v>1</v>
      </c>
      <c r="C811" s="41">
        <v>1</v>
      </c>
      <c r="D811" s="42" t="e">
        <f>IF(C811&gt;0,VLOOKUP(C811,C803:E808,2,FALSE),"")</f>
        <v>#N/A</v>
      </c>
      <c r="E811" s="43" t="e">
        <f>IF(C811&gt;0,VLOOKUP(C811,C803:E808,3,FALSE),"")</f>
        <v>#N/A</v>
      </c>
      <c r="F811" s="5"/>
      <c r="G811" s="6"/>
      <c r="H811" s="6"/>
      <c r="I811" s="6"/>
      <c r="J811" s="6"/>
      <c r="K811" s="6"/>
      <c r="L811" s="6"/>
      <c r="M811" s="6"/>
      <c r="N811" s="6"/>
      <c r="O811" s="7"/>
    </row>
    <row r="812" spans="1:16" s="1" customFormat="1">
      <c r="C812" s="44" t="b">
        <f>IF(C808=6,2,IF(C807=5,2,IF(C806=4,4,IF(C805=3,3))))</f>
        <v>0</v>
      </c>
      <c r="D812" s="45" t="e">
        <f>IF(C812&gt;0,VLOOKUP(C812,C803:E808,2,FALSE),"")</f>
        <v>#N/A</v>
      </c>
      <c r="E812" s="46" t="e">
        <f>IF(C812&gt;0,VLOOKUP(C812,C803:E808,3,FALSE),"")</f>
        <v>#N/A</v>
      </c>
      <c r="F812" s="8"/>
      <c r="G812" s="9"/>
      <c r="H812" s="9"/>
      <c r="I812" s="9"/>
      <c r="J812" s="9"/>
      <c r="K812" s="9"/>
      <c r="L812" s="9"/>
      <c r="M812" s="9"/>
      <c r="N812" s="9"/>
      <c r="O812" s="10"/>
    </row>
    <row r="813" spans="1:16" s="11" customFormat="1" ht="10.5">
      <c r="D813" s="47"/>
      <c r="E813" s="48"/>
    </row>
    <row r="814" spans="1:16" s="1" customFormat="1">
      <c r="A814" s="1">
        <v>2</v>
      </c>
      <c r="C814" s="41" t="b">
        <f>IF(C808=6,4,IF(C807=5,3,IF(C806=4,2,IF(C805=3,2))))</f>
        <v>0</v>
      </c>
      <c r="D814" s="42" t="e">
        <f>IF(C814&gt;0,VLOOKUP(C814,C803:E808,2,FALSE),"")</f>
        <v>#N/A</v>
      </c>
      <c r="E814" s="43" t="e">
        <f>IF(C814&gt;0,VLOOKUP(C814,C803:E808,3,FALSE),"")</f>
        <v>#N/A</v>
      </c>
      <c r="F814" s="5"/>
      <c r="G814" s="6"/>
      <c r="H814" s="6"/>
      <c r="I814" s="6"/>
      <c r="J814" s="6"/>
      <c r="K814" s="6"/>
      <c r="L814" s="6"/>
      <c r="M814" s="6"/>
      <c r="N814" s="6"/>
      <c r="O814" s="7"/>
    </row>
    <row r="815" spans="1:16" s="1" customFormat="1">
      <c r="C815" s="44" t="b">
        <f>IF(C808=6,5,IF(C807=5,4,IF(C806=4,3,IF(C805=3,3))))</f>
        <v>0</v>
      </c>
      <c r="D815" s="45" t="e">
        <f>IF(C815&gt;0,VLOOKUP(C815,C803:E808,2,FALSE),"")</f>
        <v>#N/A</v>
      </c>
      <c r="E815" s="46" t="e">
        <f>IF(C815&gt;0,VLOOKUP(C815,C803:E808,3,FALSE),"")</f>
        <v>#N/A</v>
      </c>
      <c r="F815" s="8"/>
      <c r="G815" s="9"/>
      <c r="H815" s="9"/>
      <c r="I815" s="9"/>
      <c r="J815" s="9"/>
      <c r="K815" s="9"/>
      <c r="L815" s="9"/>
      <c r="M815" s="9"/>
      <c r="N815" s="9"/>
      <c r="O815" s="10"/>
    </row>
    <row r="816" spans="1:16" s="11" customFormat="1" ht="10.5">
      <c r="D816" s="47"/>
      <c r="E816" s="48"/>
    </row>
    <row r="817" spans="1:15" s="1" customFormat="1">
      <c r="A817" s="1">
        <v>3</v>
      </c>
      <c r="C817" s="41" t="b">
        <f>IF(C808=6,2,IF(C807=5,5,IF(C806=4,1,IF(C805=3,1))))</f>
        <v>0</v>
      </c>
      <c r="D817" s="42" t="e">
        <f>IF(C817&gt;0,VLOOKUP(C817,C803:E808,2,FALSE),"")</f>
        <v>#N/A</v>
      </c>
      <c r="E817" s="43" t="e">
        <f>IF(C817&gt;0,VLOOKUP(C817,C803:E808,3,FALSE),"")</f>
        <v>#N/A</v>
      </c>
      <c r="F817" s="5"/>
      <c r="G817" s="6"/>
      <c r="H817" s="6"/>
      <c r="I817" s="6"/>
      <c r="J817" s="6"/>
      <c r="K817" s="6"/>
      <c r="L817" s="6"/>
      <c r="M817" s="6"/>
      <c r="N817" s="6"/>
      <c r="O817" s="7"/>
    </row>
    <row r="818" spans="1:15" s="1" customFormat="1">
      <c r="C818" s="44" t="b">
        <f>IF(C808=6,3,IF(C807=5,1,IF(C806=4,3,IF(C805=3,2))))</f>
        <v>0</v>
      </c>
      <c r="D818" s="45" t="e">
        <f>IF(C818&gt;0,VLOOKUP(C818,C803:E808,2,FALSE),"")</f>
        <v>#N/A</v>
      </c>
      <c r="E818" s="46" t="e">
        <f>IF(C818&gt;0,VLOOKUP(C818,C803:E808,3,FALSE),"")</f>
        <v>#N/A</v>
      </c>
      <c r="F818" s="8"/>
      <c r="G818" s="9"/>
      <c r="H818" s="9"/>
      <c r="I818" s="9"/>
      <c r="J818" s="9"/>
      <c r="K818" s="9"/>
      <c r="L818" s="9"/>
      <c r="M818" s="9"/>
      <c r="N818" s="9"/>
      <c r="O818" s="10"/>
    </row>
    <row r="819" spans="1:15" s="11" customFormat="1" ht="10.5">
      <c r="C819" s="49"/>
      <c r="D819" s="50"/>
      <c r="E819" s="51"/>
      <c r="F819" s="12"/>
      <c r="G819" s="12"/>
      <c r="H819" s="12"/>
      <c r="I819" s="12"/>
      <c r="J819" s="12"/>
      <c r="K819" s="12"/>
      <c r="L819" s="12"/>
      <c r="M819" s="12"/>
      <c r="N819" s="12"/>
      <c r="O819" s="13"/>
    </row>
    <row r="820" spans="1:15" s="1" customFormat="1">
      <c r="A820" s="1">
        <v>4</v>
      </c>
      <c r="C820" s="41">
        <f>IF(C808=6,5,IF(C807=5,2,IF(C806=4,2,IF(C805=3,0,0))))</f>
        <v>0</v>
      </c>
      <c r="D820" s="42" t="str">
        <f>IF(C820&gt;0,VLOOKUP(C820,C803:E808,2,FALSE),"")</f>
        <v/>
      </c>
      <c r="E820" s="43" t="str">
        <f>IF(C820&gt;0,VLOOKUP(C820,C803:E808,3,FALSE),"")</f>
        <v/>
      </c>
      <c r="F820" s="5"/>
      <c r="G820" s="6"/>
      <c r="H820" s="6"/>
      <c r="I820" s="6"/>
      <c r="J820" s="6"/>
      <c r="K820" s="6"/>
      <c r="L820" s="6"/>
      <c r="M820" s="6"/>
      <c r="N820" s="6"/>
      <c r="O820" s="7"/>
    </row>
    <row r="821" spans="1:15" s="1" customFormat="1">
      <c r="C821" s="44">
        <f>IF(C808=6,6,IF(C807=5,3,IF(C806=4,4,IF(C805=3,0,0))))</f>
        <v>0</v>
      </c>
      <c r="D821" s="45" t="str">
        <f>IF(C821&gt;0,VLOOKUP(C821,C803:E808,2,FALSE),"")</f>
        <v/>
      </c>
      <c r="E821" s="46" t="str">
        <f>IF(C821&gt;0,VLOOKUP(C821,C803:E808,3,FALSE),"")</f>
        <v/>
      </c>
      <c r="F821" s="8"/>
      <c r="G821" s="9"/>
      <c r="H821" s="9"/>
      <c r="I821" s="9"/>
      <c r="J821" s="9"/>
      <c r="K821" s="9"/>
      <c r="L821" s="9"/>
      <c r="M821" s="9"/>
      <c r="N821" s="9"/>
      <c r="O821" s="10"/>
    </row>
    <row r="822" spans="1:15" s="11" customFormat="1" ht="10.5">
      <c r="C822" s="49"/>
      <c r="D822" s="50"/>
      <c r="E822" s="51"/>
      <c r="F822" s="12"/>
      <c r="G822" s="12"/>
      <c r="H822" s="12"/>
      <c r="I822" s="12"/>
      <c r="J822" s="12"/>
      <c r="K822" s="12"/>
      <c r="L822" s="12"/>
      <c r="M822" s="12"/>
      <c r="N822" s="12"/>
      <c r="O822" s="13"/>
    </row>
    <row r="823" spans="1:15" s="1" customFormat="1">
      <c r="A823" s="1">
        <v>5</v>
      </c>
      <c r="C823" s="41">
        <f>IF(C808=6,3,IF(C807=5,5,IF(C806=4,3,IF(C805=3,0,0))))</f>
        <v>0</v>
      </c>
      <c r="D823" s="42" t="str">
        <f>IF(C823&gt;0,VLOOKUP(C823,C803:E808,2,FALSE),"")</f>
        <v/>
      </c>
      <c r="E823" s="43" t="str">
        <f>IF(C823&gt;0,VLOOKUP(C823,C803:E808,3,FALSE),"")</f>
        <v/>
      </c>
      <c r="F823" s="5"/>
      <c r="G823" s="6"/>
      <c r="H823" s="6"/>
      <c r="I823" s="6"/>
      <c r="J823" s="6"/>
      <c r="K823" s="6"/>
      <c r="L823" s="6"/>
      <c r="M823" s="6"/>
      <c r="N823" s="6"/>
      <c r="O823" s="7"/>
    </row>
    <row r="824" spans="1:15" s="1" customFormat="1">
      <c r="C824" s="44">
        <f>IF(C808=6,1,IF(C807=5,4,IF(C806=4,4,IF(C805=3,0,0))))</f>
        <v>0</v>
      </c>
      <c r="D824" s="45" t="str">
        <f>IF(C824&gt;0,VLOOKUP(C824,C803:E808,2,FALSE),"")</f>
        <v/>
      </c>
      <c r="E824" s="46" t="str">
        <f>IF(C824&gt;0,VLOOKUP(C824,C803:E808,3,FALSE),"")</f>
        <v/>
      </c>
      <c r="F824" s="8"/>
      <c r="G824" s="9"/>
      <c r="H824" s="9"/>
      <c r="I824" s="9"/>
      <c r="J824" s="9"/>
      <c r="K824" s="9"/>
      <c r="L824" s="9"/>
      <c r="M824" s="9"/>
      <c r="N824" s="9"/>
      <c r="O824" s="10"/>
    </row>
    <row r="825" spans="1:15" s="11" customFormat="1" ht="10.5">
      <c r="C825" s="49"/>
      <c r="D825" s="50"/>
      <c r="E825" s="51"/>
      <c r="F825" s="12"/>
      <c r="G825" s="12"/>
      <c r="H825" s="12"/>
      <c r="I825" s="12"/>
      <c r="J825" s="12"/>
      <c r="K825" s="12"/>
      <c r="L825" s="12"/>
      <c r="M825" s="12"/>
      <c r="N825" s="12"/>
      <c r="O825" s="13"/>
    </row>
    <row r="826" spans="1:15" s="1" customFormat="1">
      <c r="A826" s="1">
        <v>6</v>
      </c>
      <c r="C826" s="41">
        <f>IF(C808=6,6,IF(C807=5,1,IF(C806=4,1,IF(C805=3,0,0))))</f>
        <v>0</v>
      </c>
      <c r="D826" s="42" t="str">
        <f>IF(C826&gt;0,VLOOKUP(C826,C803:E808,2,FALSE),"")</f>
        <v/>
      </c>
      <c r="E826" s="43" t="str">
        <f>IF(C826&gt;0,VLOOKUP(C826,C803:E808,3,FALSE),"")</f>
        <v/>
      </c>
      <c r="F826" s="5"/>
      <c r="G826" s="6"/>
      <c r="H826" s="6"/>
      <c r="I826" s="6"/>
      <c r="J826" s="6"/>
      <c r="K826" s="6"/>
      <c r="L826" s="6"/>
      <c r="M826" s="6"/>
      <c r="N826" s="6"/>
      <c r="O826" s="7"/>
    </row>
    <row r="827" spans="1:15" s="1" customFormat="1">
      <c r="C827" s="44">
        <f>IF(C808=6,4,IF(C807=5,3,IF(C806=4,2,IF(C805=3,0,0))))</f>
        <v>0</v>
      </c>
      <c r="D827" s="45" t="str">
        <f>IF(C827&gt;0,VLOOKUP(C827,C803:E808,2,FALSE),"")</f>
        <v/>
      </c>
      <c r="E827" s="46" t="str">
        <f>IF(C827&gt;0,VLOOKUP(C827,C803:E808,3,FALSE),"")</f>
        <v/>
      </c>
      <c r="F827" s="8"/>
      <c r="G827" s="9"/>
      <c r="H827" s="9"/>
      <c r="I827" s="9"/>
      <c r="J827" s="9"/>
      <c r="K827" s="9"/>
      <c r="L827" s="9"/>
      <c r="M827" s="9"/>
      <c r="N827" s="9"/>
      <c r="O827" s="10"/>
    </row>
    <row r="828" spans="1:15" s="11" customFormat="1" ht="10.5">
      <c r="C828" s="49"/>
      <c r="D828" s="50"/>
      <c r="E828" s="51"/>
      <c r="F828" s="12"/>
      <c r="G828" s="12"/>
      <c r="H828" s="12"/>
      <c r="I828" s="12"/>
      <c r="J828" s="12"/>
      <c r="K828" s="12"/>
      <c r="L828" s="12"/>
      <c r="M828" s="12"/>
      <c r="N828" s="12"/>
      <c r="O828" s="13"/>
    </row>
    <row r="829" spans="1:15" s="1" customFormat="1">
      <c r="A829" s="1">
        <v>7</v>
      </c>
      <c r="C829" s="41">
        <f>IF(C808=6,2,IF(C807=5,2,IF(C806=4,0,0)))</f>
        <v>0</v>
      </c>
      <c r="D829" s="42" t="str">
        <f>IF(C829&gt;0,VLOOKUP(C829,C803:E808,2,FALSE),"")</f>
        <v/>
      </c>
      <c r="E829" s="43" t="str">
        <f>IF(C829&gt;0,VLOOKUP(C829,C803:E808,3,FALSE),"")</f>
        <v/>
      </c>
      <c r="F829" s="5"/>
      <c r="G829" s="6"/>
      <c r="H829" s="6"/>
      <c r="I829" s="6"/>
      <c r="J829" s="6"/>
      <c r="K829" s="6"/>
      <c r="L829" s="6"/>
      <c r="M829" s="6"/>
      <c r="N829" s="6"/>
      <c r="O829" s="7"/>
    </row>
    <row r="830" spans="1:15" s="1" customFormat="1">
      <c r="C830" s="44">
        <f>IF(C808=6,5,IF(C807=5,5,IF(C806=4,0,0)))</f>
        <v>0</v>
      </c>
      <c r="D830" s="45" t="str">
        <f>IF(C830&gt;0,VLOOKUP(C830,C803:E808,2,FALSE),"")</f>
        <v/>
      </c>
      <c r="E830" s="46" t="str">
        <f>IF(C830&gt;0,VLOOKUP(C830,C803:E808,3,FALSE),"")</f>
        <v/>
      </c>
      <c r="F830" s="8"/>
      <c r="G830" s="9"/>
      <c r="H830" s="9"/>
      <c r="I830" s="9"/>
      <c r="J830" s="9"/>
      <c r="K830" s="9"/>
      <c r="L830" s="9"/>
      <c r="M830" s="9"/>
      <c r="N830" s="9"/>
      <c r="O830" s="10"/>
    </row>
    <row r="831" spans="1:15" s="11" customFormat="1" ht="10.5">
      <c r="C831" s="49"/>
      <c r="D831" s="50"/>
      <c r="E831" s="51"/>
      <c r="F831" s="12"/>
      <c r="G831" s="12"/>
      <c r="H831" s="12"/>
      <c r="I831" s="12"/>
      <c r="J831" s="12"/>
      <c r="K831" s="12"/>
      <c r="L831" s="12"/>
      <c r="M831" s="12"/>
      <c r="N831" s="12"/>
      <c r="O831" s="13"/>
    </row>
    <row r="832" spans="1:15" s="1" customFormat="1">
      <c r="A832" s="1">
        <v>8</v>
      </c>
      <c r="C832" s="41">
        <f>IF(C808=6,1,IF(C807=5,4,IF(C806=4,0,0)))</f>
        <v>0</v>
      </c>
      <c r="D832" s="42" t="str">
        <f>IF(C832&gt;0,VLOOKUP(C832,C803:E808,2,FALSE),"")</f>
        <v/>
      </c>
      <c r="E832" s="43" t="str">
        <f>IF(C832&gt;0,VLOOKUP(C832,C803:E808,3,FALSE),"")</f>
        <v/>
      </c>
      <c r="F832" s="5"/>
      <c r="G832" s="6"/>
      <c r="H832" s="6"/>
      <c r="I832" s="6"/>
      <c r="J832" s="6"/>
      <c r="K832" s="6"/>
      <c r="L832" s="6"/>
      <c r="M832" s="6"/>
      <c r="N832" s="6"/>
      <c r="O832" s="7"/>
    </row>
    <row r="833" spans="1:15" s="1" customFormat="1">
      <c r="C833" s="44">
        <f>IF(C808=6,4,IF(C807=5,1,IF(C806=4,0,0)))</f>
        <v>0</v>
      </c>
      <c r="D833" s="45" t="str">
        <f>IF(C833&gt;0,VLOOKUP(C833,C803:E808,2,FALSE),"")</f>
        <v/>
      </c>
      <c r="E833" s="46" t="str">
        <f>IF(C833&gt;0,VLOOKUP(C833,C803:E808,3,FALSE),"")</f>
        <v/>
      </c>
      <c r="F833" s="8"/>
      <c r="G833" s="9"/>
      <c r="H833" s="9"/>
      <c r="I833" s="9"/>
      <c r="J833" s="9"/>
      <c r="K833" s="9"/>
      <c r="L833" s="9"/>
      <c r="M833" s="9"/>
      <c r="N833" s="9"/>
      <c r="O833" s="10"/>
    </row>
    <row r="834" spans="1:15" s="11" customFormat="1" ht="10.5">
      <c r="C834" s="49"/>
      <c r="D834" s="50"/>
      <c r="E834" s="51"/>
      <c r="F834" s="12"/>
      <c r="G834" s="12"/>
      <c r="H834" s="12"/>
      <c r="I834" s="12"/>
      <c r="J834" s="12"/>
      <c r="K834" s="12"/>
      <c r="L834" s="12"/>
      <c r="M834" s="12"/>
      <c r="N834" s="12"/>
      <c r="O834" s="13"/>
    </row>
    <row r="835" spans="1:15" s="1" customFormat="1">
      <c r="A835" s="1">
        <v>9</v>
      </c>
      <c r="C835" s="41">
        <f>IF(C808=6,5,IF(C807=5,3,IF(C806=4,0,0)))</f>
        <v>0</v>
      </c>
      <c r="D835" s="42" t="str">
        <f>IF(C835&gt;0,VLOOKUP(C835,C803:E808,2,FALSE),"")</f>
        <v/>
      </c>
      <c r="E835" s="43" t="str">
        <f>IF(C835&gt;0,VLOOKUP(C835,C803:E808,3,FALSE),"")</f>
        <v/>
      </c>
      <c r="F835" s="5"/>
      <c r="G835" s="6"/>
      <c r="H835" s="6"/>
      <c r="I835" s="6"/>
      <c r="J835" s="6"/>
      <c r="K835" s="6"/>
      <c r="L835" s="6"/>
      <c r="M835" s="6"/>
      <c r="N835" s="6"/>
      <c r="O835" s="7"/>
    </row>
    <row r="836" spans="1:15" s="1" customFormat="1">
      <c r="C836" s="44">
        <f>IF(C808=6,3,IF(C807=5,5,IF(C806=4,0,0)))</f>
        <v>0</v>
      </c>
      <c r="D836" s="45" t="str">
        <f>IF(C836&gt;0,VLOOKUP(C836,C803:E808,2,FALSE),"")</f>
        <v/>
      </c>
      <c r="E836" s="46" t="str">
        <f>IF(C836&gt;0,VLOOKUP(C836,C803:E808,3,FALSE),"")</f>
        <v/>
      </c>
      <c r="F836" s="8"/>
      <c r="G836" s="9"/>
      <c r="H836" s="9"/>
      <c r="I836" s="9"/>
      <c r="J836" s="9"/>
      <c r="K836" s="9"/>
      <c r="L836" s="9"/>
      <c r="M836" s="9"/>
      <c r="N836" s="9"/>
      <c r="O836" s="10"/>
    </row>
    <row r="837" spans="1:15" s="11" customFormat="1" ht="10.5">
      <c r="C837" s="49"/>
      <c r="D837" s="50"/>
      <c r="E837" s="51"/>
      <c r="F837" s="12"/>
      <c r="G837" s="12"/>
      <c r="H837" s="12"/>
      <c r="I837" s="12"/>
      <c r="J837" s="12"/>
      <c r="K837" s="12"/>
      <c r="L837" s="12"/>
      <c r="M837" s="12"/>
      <c r="N837" s="12"/>
      <c r="O837" s="13"/>
    </row>
    <row r="838" spans="1:15" s="1" customFormat="1">
      <c r="A838" s="1">
        <v>10</v>
      </c>
      <c r="C838" s="41">
        <f>IF(C808=6,1,IF(C807=5,4,IF(C806=4,0,0)))</f>
        <v>0</v>
      </c>
      <c r="D838" s="42" t="str">
        <f>IF(C838&gt;0,VLOOKUP(C838,C803:E808,2,FALSE),"")</f>
        <v/>
      </c>
      <c r="E838" s="43" t="str">
        <f>IF(C838&gt;0,VLOOKUP(C838,C803:E808,3,FALSE),"")</f>
        <v/>
      </c>
      <c r="F838" s="5"/>
      <c r="G838" s="6"/>
      <c r="H838" s="6"/>
      <c r="I838" s="6"/>
      <c r="J838" s="6"/>
      <c r="K838" s="6"/>
      <c r="L838" s="6"/>
      <c r="M838" s="6"/>
      <c r="N838" s="6"/>
      <c r="O838" s="7"/>
    </row>
    <row r="839" spans="1:15" s="1" customFormat="1">
      <c r="C839" s="44">
        <f>IF(C808=6,6,IF(C807=5,2,IF(C806=4,0,0)))</f>
        <v>0</v>
      </c>
      <c r="D839" s="45" t="str">
        <f>IF(C839&gt;0,VLOOKUP(C839,C803:E808,2,FALSE),"")</f>
        <v/>
      </c>
      <c r="E839" s="46" t="str">
        <f>IF(C839&gt;0,VLOOKUP(C839,C803:E808,3,FALSE),"")</f>
        <v/>
      </c>
      <c r="F839" s="8"/>
      <c r="G839" s="9"/>
      <c r="H839" s="9"/>
      <c r="I839" s="9"/>
      <c r="J839" s="9"/>
      <c r="K839" s="9"/>
      <c r="L839" s="9"/>
      <c r="M839" s="9"/>
      <c r="N839" s="9"/>
      <c r="O839" s="10"/>
    </row>
    <row r="840" spans="1:15" s="11" customFormat="1" ht="10.5">
      <c r="C840" s="49"/>
      <c r="D840" s="50"/>
      <c r="E840" s="51"/>
      <c r="F840" s="12"/>
      <c r="G840" s="12"/>
      <c r="H840" s="12"/>
      <c r="I840" s="12"/>
      <c r="J840" s="12"/>
      <c r="K840" s="12"/>
      <c r="L840" s="12"/>
      <c r="M840" s="12"/>
      <c r="N840" s="12"/>
      <c r="O840" s="13"/>
    </row>
    <row r="841" spans="1:15" s="1" customFormat="1">
      <c r="A841" s="1">
        <v>11</v>
      </c>
      <c r="C841" s="41">
        <f>IF(C808=6,4,0)</f>
        <v>0</v>
      </c>
      <c r="D841" s="42" t="str">
        <f>IF(C841&gt;0,VLOOKUP(C841,C803:E808,2,FALSE),"")</f>
        <v/>
      </c>
      <c r="E841" s="43" t="str">
        <f>IF(C841&gt;0,VLOOKUP(C841,C803:E808,3,FALSE),"")</f>
        <v/>
      </c>
      <c r="F841" s="5"/>
      <c r="G841" s="6"/>
      <c r="H841" s="6"/>
      <c r="I841" s="6"/>
      <c r="J841" s="6"/>
      <c r="K841" s="6"/>
      <c r="L841" s="6"/>
      <c r="M841" s="6"/>
      <c r="N841" s="6"/>
      <c r="O841" s="7"/>
    </row>
    <row r="842" spans="1:15" s="1" customFormat="1">
      <c r="C842" s="44">
        <f>IF(C808=6,2,0)</f>
        <v>0</v>
      </c>
      <c r="D842" s="45" t="str">
        <f>IF(C842&gt;0,VLOOKUP(C842,C803:E808,2,FALSE),"")</f>
        <v/>
      </c>
      <c r="E842" s="46" t="str">
        <f>IF(C842&gt;0,VLOOKUP(C842,C803:E808,3,FALSE),"")</f>
        <v/>
      </c>
      <c r="F842" s="8"/>
      <c r="G842" s="9"/>
      <c r="H842" s="9"/>
      <c r="I842" s="9"/>
      <c r="J842" s="9"/>
      <c r="K842" s="9"/>
      <c r="L842" s="9"/>
      <c r="M842" s="9"/>
      <c r="N842" s="9"/>
      <c r="O842" s="10"/>
    </row>
    <row r="843" spans="1:15" s="11" customFormat="1" ht="10.5">
      <c r="C843" s="49"/>
      <c r="D843" s="50"/>
      <c r="E843" s="51"/>
      <c r="F843" s="12"/>
      <c r="G843" s="12"/>
      <c r="H843" s="12"/>
      <c r="I843" s="12"/>
      <c r="J843" s="12"/>
      <c r="K843" s="12"/>
      <c r="L843" s="12"/>
      <c r="M843" s="12"/>
      <c r="N843" s="12"/>
      <c r="O843" s="13"/>
    </row>
    <row r="844" spans="1:15" s="1" customFormat="1">
      <c r="A844" s="1">
        <v>12</v>
      </c>
      <c r="C844" s="41">
        <f>IF(C808=6,3,0)</f>
        <v>0</v>
      </c>
      <c r="D844" s="42" t="str">
        <f>IF(C844&gt;0,VLOOKUP(C844,C803:E808,2,FALSE),"")</f>
        <v/>
      </c>
      <c r="E844" s="43" t="str">
        <f>IF(C844&gt;0,VLOOKUP(C844,C803:E808,3,FALSE),"")</f>
        <v/>
      </c>
      <c r="F844" s="5"/>
      <c r="G844" s="6"/>
      <c r="H844" s="6"/>
      <c r="I844" s="6"/>
      <c r="J844" s="6"/>
      <c r="K844" s="6"/>
      <c r="L844" s="6"/>
      <c r="M844" s="6"/>
      <c r="N844" s="6"/>
      <c r="O844" s="7"/>
    </row>
    <row r="845" spans="1:15" s="1" customFormat="1" ht="13.5" customHeight="1">
      <c r="C845" s="44">
        <f>IF(C808=6,6,0)</f>
        <v>0</v>
      </c>
      <c r="D845" s="45" t="str">
        <f>IF(C845&gt;0,VLOOKUP(C845,C803:E808,2,FALSE),"")</f>
        <v/>
      </c>
      <c r="E845" s="46" t="str">
        <f>IF(C845&gt;0,VLOOKUP(C845,C803:E808,3,FALSE),"")</f>
        <v/>
      </c>
      <c r="F845" s="8"/>
      <c r="G845" s="9"/>
      <c r="H845" s="9"/>
      <c r="I845" s="9"/>
      <c r="J845" s="9"/>
      <c r="K845" s="9"/>
      <c r="L845" s="9"/>
      <c r="M845" s="9"/>
      <c r="N845" s="9"/>
      <c r="O845" s="10"/>
    </row>
    <row r="846" spans="1:15" s="11" customFormat="1" ht="10.5">
      <c r="C846" s="49"/>
      <c r="D846" s="50"/>
      <c r="E846" s="51"/>
      <c r="F846" s="12"/>
      <c r="G846" s="12"/>
      <c r="H846" s="12"/>
      <c r="I846" s="12"/>
      <c r="J846" s="12"/>
      <c r="K846" s="12"/>
      <c r="L846" s="12"/>
      <c r="M846" s="12"/>
      <c r="N846" s="12"/>
      <c r="O846" s="13"/>
    </row>
    <row r="847" spans="1:15" s="1" customFormat="1">
      <c r="A847" s="1">
        <v>13</v>
      </c>
      <c r="C847" s="41">
        <f>IF(C808=6,5,0)</f>
        <v>0</v>
      </c>
      <c r="D847" s="42" t="str">
        <f>IF(C847&gt;0,VLOOKUP(C847,C803:E808,2,FALSE),"")</f>
        <v/>
      </c>
      <c r="E847" s="43" t="str">
        <f>IF(C847&gt;0,VLOOKUP(C847,C803:E808,3,FALSE),"")</f>
        <v/>
      </c>
      <c r="F847" s="5"/>
      <c r="G847" s="6"/>
      <c r="H847" s="6"/>
      <c r="I847" s="6"/>
      <c r="J847" s="6"/>
      <c r="K847" s="6"/>
      <c r="L847" s="6"/>
      <c r="M847" s="6"/>
      <c r="N847" s="6"/>
      <c r="O847" s="7"/>
    </row>
    <row r="848" spans="1:15" s="1" customFormat="1">
      <c r="C848" s="44">
        <f>IF(C808=6,1,0)</f>
        <v>0</v>
      </c>
      <c r="D848" s="45" t="str">
        <f>IF(C848&gt;0,VLOOKUP(C848,C803:E808,2,FALSE),"")</f>
        <v/>
      </c>
      <c r="E848" s="46" t="str">
        <f>IF(C848&gt;0,VLOOKUP(C848,C803:E808,3,FALSE),"")</f>
        <v/>
      </c>
      <c r="F848" s="8"/>
      <c r="G848" s="9"/>
      <c r="H848" s="9"/>
      <c r="I848" s="9"/>
      <c r="J848" s="9"/>
      <c r="K848" s="9"/>
      <c r="L848" s="9"/>
      <c r="M848" s="9"/>
      <c r="N848" s="9"/>
      <c r="O848" s="10"/>
    </row>
    <row r="849" spans="1:16" s="11" customFormat="1" ht="10.5">
      <c r="C849" s="49"/>
      <c r="D849" s="50"/>
      <c r="E849" s="51"/>
      <c r="F849" s="12"/>
      <c r="G849" s="12"/>
      <c r="H849" s="12"/>
      <c r="I849" s="12"/>
      <c r="J849" s="12"/>
      <c r="K849" s="12"/>
      <c r="L849" s="12"/>
      <c r="M849" s="12"/>
      <c r="N849" s="12"/>
      <c r="O849" s="13"/>
    </row>
    <row r="850" spans="1:16" s="1" customFormat="1">
      <c r="A850" s="1">
        <v>14</v>
      </c>
      <c r="C850" s="41">
        <f>IF(C808=6,3,0)</f>
        <v>0</v>
      </c>
      <c r="D850" s="42" t="str">
        <f>IF(C850&gt;0,VLOOKUP(C850,C803:E808,2,FALSE),"")</f>
        <v/>
      </c>
      <c r="E850" s="43" t="str">
        <f>IF(C850&gt;0,VLOOKUP(C850,C803:E808,3,FALSE),"")</f>
        <v/>
      </c>
      <c r="F850" s="5"/>
      <c r="G850" s="6"/>
      <c r="H850" s="6"/>
      <c r="I850" s="6"/>
      <c r="J850" s="6"/>
      <c r="K850" s="6"/>
      <c r="L850" s="6"/>
      <c r="M850" s="6"/>
      <c r="N850" s="6"/>
      <c r="O850" s="7"/>
    </row>
    <row r="851" spans="1:16" s="1" customFormat="1">
      <c r="C851" s="44">
        <f>IF(C808=6,4,0)</f>
        <v>0</v>
      </c>
      <c r="D851" s="45" t="str">
        <f>IF(C851&gt;0,VLOOKUP(C851,C803:E808,2,FALSE),"")</f>
        <v/>
      </c>
      <c r="E851" s="46" t="str">
        <f>IF(C851&gt;0,VLOOKUP(C851,C803:E808,3,FALSE),"")</f>
        <v/>
      </c>
      <c r="F851" s="8"/>
      <c r="G851" s="9"/>
      <c r="H851" s="9"/>
      <c r="I851" s="9"/>
      <c r="J851" s="9"/>
      <c r="K851" s="9"/>
      <c r="L851" s="9"/>
      <c r="M851" s="9"/>
      <c r="N851" s="9"/>
      <c r="O851" s="10"/>
    </row>
    <row r="852" spans="1:16" s="11" customFormat="1" ht="10.5">
      <c r="C852" s="49"/>
      <c r="D852" s="50"/>
      <c r="E852" s="51"/>
      <c r="F852" s="12"/>
      <c r="G852" s="12"/>
      <c r="H852" s="12"/>
      <c r="I852" s="12"/>
      <c r="J852" s="12"/>
      <c r="K852" s="12"/>
      <c r="L852" s="12"/>
      <c r="M852" s="12"/>
      <c r="N852" s="12"/>
      <c r="O852" s="13"/>
    </row>
    <row r="853" spans="1:16" s="1" customFormat="1">
      <c r="A853" s="1">
        <v>15</v>
      </c>
      <c r="C853" s="41">
        <f>IF(C808=6,6,0)</f>
        <v>0</v>
      </c>
      <c r="D853" s="42" t="str">
        <f>IF(C853&gt;0,VLOOKUP(C853,C803:E808,2,FALSE),"")</f>
        <v/>
      </c>
      <c r="E853" s="43" t="str">
        <f>IF(C853&gt;0,VLOOKUP(C853,C803:E808,3,FALSE),"")</f>
        <v/>
      </c>
      <c r="F853" s="5"/>
      <c r="G853" s="6"/>
      <c r="H853" s="6"/>
      <c r="I853" s="6"/>
      <c r="J853" s="6"/>
      <c r="K853" s="6"/>
      <c r="L853" s="6"/>
      <c r="M853" s="6"/>
      <c r="N853" s="6"/>
      <c r="O853" s="7"/>
    </row>
    <row r="854" spans="1:16" s="1" customFormat="1">
      <c r="C854" s="44">
        <f>IF(C808=6,2,0)</f>
        <v>0</v>
      </c>
      <c r="D854" s="45" t="str">
        <f>IF(C854&gt;0,VLOOKUP(C854,C803:E808,2,FALSE),"")</f>
        <v/>
      </c>
      <c r="E854" s="46" t="str">
        <f>IF(C854&gt;0,VLOOKUP(C854,C803:E808,3,FALSE),"")</f>
        <v/>
      </c>
      <c r="F854" s="8"/>
      <c r="G854" s="9"/>
      <c r="H854" s="9"/>
      <c r="I854" s="9"/>
      <c r="J854" s="9"/>
      <c r="K854" s="9"/>
      <c r="L854" s="9"/>
      <c r="M854" s="9"/>
      <c r="N854" s="9"/>
      <c r="O854" s="10"/>
    </row>
    <row r="855" spans="1:16" s="104" customFormat="1" ht="10.5">
      <c r="A855" s="324"/>
      <c r="B855" s="324"/>
      <c r="C855" s="324"/>
      <c r="D855" s="324"/>
      <c r="E855" s="324"/>
      <c r="F855" s="324"/>
      <c r="G855" s="324"/>
      <c r="H855" s="324"/>
      <c r="I855" s="324"/>
      <c r="J855" s="324"/>
      <c r="K855" s="324"/>
      <c r="L855" s="324"/>
    </row>
    <row r="856" spans="1:16" s="57" customFormat="1" ht="17.25">
      <c r="A856" s="321" t="str">
        <f>名簿!$A$1</f>
        <v>第9回川本杯はしまモアフェンシング大会</v>
      </c>
      <c r="B856" s="321"/>
      <c r="C856" s="321"/>
      <c r="D856" s="321"/>
      <c r="E856" s="321"/>
      <c r="F856" s="321"/>
      <c r="G856" s="321"/>
      <c r="H856" s="321"/>
      <c r="I856" s="321"/>
      <c r="J856" s="321"/>
      <c r="K856" s="268" t="s">
        <v>72</v>
      </c>
      <c r="L856" s="322" t="s">
        <v>73</v>
      </c>
      <c r="M856" s="322"/>
      <c r="N856" s="322"/>
      <c r="O856" s="323"/>
    </row>
    <row r="857" spans="1:16" s="58" customFormat="1" ht="14.25">
      <c r="A857" s="318" t="str">
        <f>"　"&amp;名簿!$A$2</f>
        <v>　中学男子</v>
      </c>
      <c r="B857" s="318"/>
      <c r="C857" s="318"/>
      <c r="D857" s="318"/>
      <c r="E857" s="318"/>
      <c r="F857" s="318"/>
      <c r="G857" s="318"/>
      <c r="H857" s="318"/>
      <c r="I857" s="318"/>
      <c r="J857" s="318"/>
      <c r="K857" s="269"/>
      <c r="L857" s="319" t="s">
        <v>74</v>
      </c>
      <c r="M857" s="319"/>
      <c r="N857" s="319"/>
      <c r="O857" s="320"/>
    </row>
    <row r="858" spans="1:16" s="58" customFormat="1" ht="14.25">
      <c r="A858" s="314" t="str">
        <f>"　　"&amp;名簿!$A$3</f>
        <v>　　1回戦</v>
      </c>
      <c r="B858" s="314"/>
      <c r="C858" s="314"/>
      <c r="D858" s="314"/>
      <c r="E858" s="314"/>
      <c r="K858" s="315">
        <f>名簿!$E$3</f>
        <v>43184</v>
      </c>
      <c r="L858" s="315"/>
      <c r="M858" s="315"/>
      <c r="N858" s="315"/>
      <c r="O858" s="315"/>
    </row>
    <row r="859" spans="1:16">
      <c r="A859" s="59" t="s">
        <v>57</v>
      </c>
      <c r="B859" s="60" t="s">
        <v>13</v>
      </c>
      <c r="C859" s="61" t="s">
        <v>0</v>
      </c>
      <c r="D859" s="62" t="s">
        <v>7</v>
      </c>
      <c r="E859" s="63" t="s">
        <v>8</v>
      </c>
      <c r="F859" s="64">
        <v>1</v>
      </c>
      <c r="G859" s="65">
        <v>2</v>
      </c>
      <c r="H859" s="65">
        <v>3</v>
      </c>
      <c r="I859" s="65">
        <v>4</v>
      </c>
      <c r="J859" s="65">
        <v>5</v>
      </c>
      <c r="K859" s="66">
        <v>6</v>
      </c>
      <c r="L859" s="67" t="s">
        <v>58</v>
      </c>
      <c r="M859" s="68" t="s">
        <v>59</v>
      </c>
      <c r="N859" s="316" t="s">
        <v>6</v>
      </c>
      <c r="O859" s="317"/>
      <c r="P859" s="69"/>
    </row>
    <row r="860" spans="1:16" ht="18" customHeight="1">
      <c r="A860" s="71">
        <f>'予選 Ｐ'!A95</f>
        <v>16</v>
      </c>
      <c r="B860" s="72">
        <f>'予選 Ｐ'!B95</f>
        <v>0</v>
      </c>
      <c r="C860" s="73" t="str">
        <f>'予選 Ｐ'!C95</f>
        <v/>
      </c>
      <c r="D860" s="34" t="str">
        <f>'予選 Ｐ'!E95</f>
        <v/>
      </c>
      <c r="E860" s="35" t="str">
        <f>'予選 Ｐ'!F95</f>
        <v/>
      </c>
      <c r="F860" s="74"/>
      <c r="G860" s="75"/>
      <c r="H860" s="75"/>
      <c r="I860" s="75"/>
      <c r="J860" s="75"/>
      <c r="K860" s="76"/>
      <c r="L860" s="77"/>
      <c r="M860" s="78"/>
      <c r="N860" s="79"/>
      <c r="O860" s="80"/>
      <c r="P860" s="81"/>
    </row>
    <row r="861" spans="1:16" ht="18" customHeight="1">
      <c r="A861" s="82" t="str">
        <f>'予選 Ｐ'!A96</f>
        <v/>
      </c>
      <c r="B861" s="83">
        <f>'予選 Ｐ'!B96</f>
        <v>0</v>
      </c>
      <c r="C861" s="84" t="str">
        <f>'予選 Ｐ'!C96</f>
        <v/>
      </c>
      <c r="D861" s="36" t="str">
        <f>'予選 Ｐ'!E96</f>
        <v/>
      </c>
      <c r="E861" s="35" t="str">
        <f>'予選 Ｐ'!F96</f>
        <v/>
      </c>
      <c r="F861" s="85"/>
      <c r="G861" s="86"/>
      <c r="H861" s="87"/>
      <c r="I861" s="87"/>
      <c r="J861" s="87"/>
      <c r="K861" s="88"/>
      <c r="L861" s="89"/>
      <c r="M861" s="90"/>
      <c r="N861" s="91"/>
      <c r="O861" s="92"/>
      <c r="P861" s="81"/>
    </row>
    <row r="862" spans="1:16" ht="18" customHeight="1">
      <c r="A862" s="82" t="str">
        <f>'予選 Ｐ'!A97</f>
        <v/>
      </c>
      <c r="B862" s="83">
        <f>'予選 Ｐ'!B97</f>
        <v>0</v>
      </c>
      <c r="C862" s="84" t="str">
        <f>'予選 Ｐ'!C97</f>
        <v/>
      </c>
      <c r="D862" s="36" t="str">
        <f>'予選 Ｐ'!E97</f>
        <v/>
      </c>
      <c r="E862" s="35" t="str">
        <f>'予選 Ｐ'!F97</f>
        <v/>
      </c>
      <c r="F862" s="85"/>
      <c r="G862" s="87"/>
      <c r="H862" s="86"/>
      <c r="I862" s="87"/>
      <c r="J862" s="87"/>
      <c r="K862" s="88"/>
      <c r="L862" s="89"/>
      <c r="M862" s="90"/>
      <c r="N862" s="91"/>
      <c r="O862" s="92"/>
      <c r="P862" s="81"/>
    </row>
    <row r="863" spans="1:16" ht="18" customHeight="1">
      <c r="A863" s="82" t="str">
        <f>'予選 Ｐ'!A98</f>
        <v/>
      </c>
      <c r="B863" s="83" t="str">
        <f>IF('予選 Ｐ'!B98="","",'予選 Ｐ'!B98)</f>
        <v/>
      </c>
      <c r="C863" s="84" t="str">
        <f>'予選 Ｐ'!C98</f>
        <v/>
      </c>
      <c r="D863" s="36" t="str">
        <f>'予選 Ｐ'!E98</f>
        <v/>
      </c>
      <c r="E863" s="35" t="str">
        <f>'予選 Ｐ'!F98</f>
        <v/>
      </c>
      <c r="F863" s="85"/>
      <c r="G863" s="87"/>
      <c r="H863" s="87"/>
      <c r="I863" s="86"/>
      <c r="J863" s="87"/>
      <c r="K863" s="88"/>
      <c r="L863" s="89"/>
      <c r="M863" s="90"/>
      <c r="N863" s="91"/>
      <c r="O863" s="92"/>
      <c r="P863" s="81"/>
    </row>
    <row r="864" spans="1:16" ht="18" customHeight="1">
      <c r="A864" s="82" t="str">
        <f>'予選 Ｐ'!A99</f>
        <v/>
      </c>
      <c r="B864" s="83" t="str">
        <f>IF('予選 Ｐ'!B99="","",'予選 Ｐ'!B99)</f>
        <v/>
      </c>
      <c r="C864" s="84" t="str">
        <f>'予選 Ｐ'!C99</f>
        <v/>
      </c>
      <c r="D864" s="36" t="str">
        <f>'予選 Ｐ'!E99</f>
        <v/>
      </c>
      <c r="E864" s="35" t="str">
        <f>'予選 Ｐ'!F99</f>
        <v/>
      </c>
      <c r="F864" s="85"/>
      <c r="G864" s="87"/>
      <c r="H864" s="87"/>
      <c r="I864" s="87"/>
      <c r="J864" s="86"/>
      <c r="K864" s="88"/>
      <c r="L864" s="89"/>
      <c r="M864" s="90"/>
      <c r="N864" s="91"/>
      <c r="O864" s="92"/>
      <c r="P864" s="81"/>
    </row>
    <row r="865" spans="1:16" ht="18" customHeight="1">
      <c r="A865" s="93" t="str">
        <f>'予選 Ｐ'!A100</f>
        <v/>
      </c>
      <c r="B865" s="94" t="str">
        <f>IF('予選 Ｐ'!B100="","",'予選 Ｐ'!B100)</f>
        <v/>
      </c>
      <c r="C865" s="95" t="str">
        <f>'予選 Ｐ'!C100</f>
        <v/>
      </c>
      <c r="D865" s="37" t="str">
        <f>'予選 Ｐ'!E100</f>
        <v/>
      </c>
      <c r="E865" s="96" t="str">
        <f>'予選 Ｐ'!F100</f>
        <v/>
      </c>
      <c r="F865" s="97"/>
      <c r="G865" s="98"/>
      <c r="H865" s="98"/>
      <c r="I865" s="98"/>
      <c r="J865" s="98"/>
      <c r="K865" s="99"/>
      <c r="L865" s="100"/>
      <c r="M865" s="101"/>
      <c r="N865" s="102"/>
      <c r="O865" s="103"/>
      <c r="P865" s="81"/>
    </row>
    <row r="866" spans="1:16" s="104" customFormat="1" ht="10.5">
      <c r="D866" s="105"/>
      <c r="E866" s="106"/>
    </row>
    <row r="867" spans="1:16" s="1" customFormat="1">
      <c r="C867" s="38" t="s">
        <v>37</v>
      </c>
      <c r="D867" s="39" t="s">
        <v>16</v>
      </c>
      <c r="E867" s="40" t="s">
        <v>8</v>
      </c>
      <c r="F867" s="2">
        <v>1</v>
      </c>
      <c r="G867" s="3">
        <v>2</v>
      </c>
      <c r="H867" s="3">
        <v>3</v>
      </c>
      <c r="I867" s="3">
        <v>4</v>
      </c>
      <c r="J867" s="3">
        <v>5</v>
      </c>
      <c r="K867" s="3">
        <v>6</v>
      </c>
      <c r="L867" s="3">
        <v>7</v>
      </c>
      <c r="M867" s="3">
        <v>8</v>
      </c>
      <c r="N867" s="3">
        <v>9</v>
      </c>
      <c r="O867" s="4" t="s">
        <v>5</v>
      </c>
    </row>
    <row r="868" spans="1:16" s="1" customFormat="1">
      <c r="A868" s="1">
        <v>1</v>
      </c>
      <c r="C868" s="41">
        <v>1</v>
      </c>
      <c r="D868" s="42" t="e">
        <f>IF(C868&gt;0,VLOOKUP(C868,C860:E865,2,FALSE),"")</f>
        <v>#N/A</v>
      </c>
      <c r="E868" s="43" t="e">
        <f>IF(C868&gt;0,VLOOKUP(C868,C860:E865,3,FALSE),"")</f>
        <v>#N/A</v>
      </c>
      <c r="F868" s="5"/>
      <c r="G868" s="6"/>
      <c r="H868" s="6"/>
      <c r="I868" s="6"/>
      <c r="J868" s="6"/>
      <c r="K868" s="6"/>
      <c r="L868" s="6"/>
      <c r="M868" s="6"/>
      <c r="N868" s="6"/>
      <c r="O868" s="7"/>
    </row>
    <row r="869" spans="1:16" s="1" customFormat="1">
      <c r="C869" s="44" t="b">
        <f>IF(C865=6,2,IF(C864=5,2,IF(C863=4,4,IF(C862=3,3))))</f>
        <v>0</v>
      </c>
      <c r="D869" s="45" t="e">
        <f>IF(C869&gt;0,VLOOKUP(C869,C860:E865,2,FALSE),"")</f>
        <v>#N/A</v>
      </c>
      <c r="E869" s="46" t="e">
        <f>IF(C869&gt;0,VLOOKUP(C869,C860:E865,3,FALSE),"")</f>
        <v>#N/A</v>
      </c>
      <c r="F869" s="8"/>
      <c r="G869" s="9"/>
      <c r="H869" s="9"/>
      <c r="I869" s="9"/>
      <c r="J869" s="9"/>
      <c r="K869" s="9"/>
      <c r="L869" s="9"/>
      <c r="M869" s="9"/>
      <c r="N869" s="9"/>
      <c r="O869" s="10"/>
    </row>
    <row r="870" spans="1:16" s="11" customFormat="1" ht="10.5">
      <c r="D870" s="47"/>
      <c r="E870" s="48"/>
    </row>
    <row r="871" spans="1:16" s="1" customFormat="1">
      <c r="A871" s="1">
        <v>2</v>
      </c>
      <c r="C871" s="41" t="b">
        <f>IF(C865=6,4,IF(C864=5,3,IF(C863=4,2,IF(C862=3,2))))</f>
        <v>0</v>
      </c>
      <c r="D871" s="42" t="e">
        <f>IF(C871&gt;0,VLOOKUP(C871,C860:E865,2,FALSE),"")</f>
        <v>#N/A</v>
      </c>
      <c r="E871" s="43" t="e">
        <f>IF(C871&gt;0,VLOOKUP(C871,C860:E865,3,FALSE),"")</f>
        <v>#N/A</v>
      </c>
      <c r="F871" s="5"/>
      <c r="G871" s="6"/>
      <c r="H871" s="6"/>
      <c r="I871" s="6"/>
      <c r="J871" s="6"/>
      <c r="K871" s="6"/>
      <c r="L871" s="6"/>
      <c r="M871" s="6"/>
      <c r="N871" s="6"/>
      <c r="O871" s="7"/>
    </row>
    <row r="872" spans="1:16" s="1" customFormat="1">
      <c r="C872" s="44" t="b">
        <f>IF(C865=6,5,IF(C864=5,4,IF(C863=4,3,IF(C862=3,3))))</f>
        <v>0</v>
      </c>
      <c r="D872" s="45" t="e">
        <f>IF(C872&gt;0,VLOOKUP(C872,C860:E865,2,FALSE),"")</f>
        <v>#N/A</v>
      </c>
      <c r="E872" s="46" t="e">
        <f>IF(C872&gt;0,VLOOKUP(C872,C860:E865,3,FALSE),"")</f>
        <v>#N/A</v>
      </c>
      <c r="F872" s="8"/>
      <c r="G872" s="9"/>
      <c r="H872" s="9"/>
      <c r="I872" s="9"/>
      <c r="J872" s="9"/>
      <c r="K872" s="9"/>
      <c r="L872" s="9"/>
      <c r="M872" s="9"/>
      <c r="N872" s="9"/>
      <c r="O872" s="10"/>
    </row>
    <row r="873" spans="1:16" s="11" customFormat="1" ht="10.5">
      <c r="D873" s="47"/>
      <c r="E873" s="48"/>
    </row>
    <row r="874" spans="1:16" s="1" customFormat="1">
      <c r="A874" s="1">
        <v>3</v>
      </c>
      <c r="C874" s="41" t="b">
        <f>IF(C865=6,2,IF(C864=5,5,IF(C863=4,1,IF(C862=3,1))))</f>
        <v>0</v>
      </c>
      <c r="D874" s="42" t="e">
        <f>IF(C874&gt;0,VLOOKUP(C874,C860:E865,2,FALSE),"")</f>
        <v>#N/A</v>
      </c>
      <c r="E874" s="43" t="e">
        <f>IF(C874&gt;0,VLOOKUP(C874,C860:E865,3,FALSE),"")</f>
        <v>#N/A</v>
      </c>
      <c r="F874" s="5"/>
      <c r="G874" s="6"/>
      <c r="H874" s="6"/>
      <c r="I874" s="6"/>
      <c r="J874" s="6"/>
      <c r="K874" s="6"/>
      <c r="L874" s="6"/>
      <c r="M874" s="6"/>
      <c r="N874" s="6"/>
      <c r="O874" s="7"/>
    </row>
    <row r="875" spans="1:16" s="1" customFormat="1">
      <c r="C875" s="44" t="b">
        <f>IF(C865=6,3,IF(C864=5,1,IF(C863=4,3,IF(C862=3,2))))</f>
        <v>0</v>
      </c>
      <c r="D875" s="45" t="e">
        <f>IF(C875&gt;0,VLOOKUP(C875,C860:E865,2,FALSE),"")</f>
        <v>#N/A</v>
      </c>
      <c r="E875" s="46" t="e">
        <f>IF(C875&gt;0,VLOOKUP(C875,C860:E865,3,FALSE),"")</f>
        <v>#N/A</v>
      </c>
      <c r="F875" s="8"/>
      <c r="G875" s="9"/>
      <c r="H875" s="9"/>
      <c r="I875" s="9"/>
      <c r="J875" s="9"/>
      <c r="K875" s="9"/>
      <c r="L875" s="9"/>
      <c r="M875" s="9"/>
      <c r="N875" s="9"/>
      <c r="O875" s="10"/>
    </row>
    <row r="876" spans="1:16" s="11" customFormat="1" ht="10.5">
      <c r="C876" s="49"/>
      <c r="D876" s="50"/>
      <c r="E876" s="51"/>
      <c r="F876" s="12"/>
      <c r="G876" s="12"/>
      <c r="H876" s="12"/>
      <c r="I876" s="12"/>
      <c r="J876" s="12"/>
      <c r="K876" s="12"/>
      <c r="L876" s="12"/>
      <c r="M876" s="12"/>
      <c r="N876" s="12"/>
      <c r="O876" s="13"/>
    </row>
    <row r="877" spans="1:16" s="1" customFormat="1">
      <c r="A877" s="1">
        <v>4</v>
      </c>
      <c r="C877" s="41">
        <f>IF(C865=6,5,IF(C864=5,2,IF(C863=4,2,IF(C862=3,0,0))))</f>
        <v>0</v>
      </c>
      <c r="D877" s="42" t="str">
        <f>IF(C877&gt;0,VLOOKUP(C877,C860:E865,2,FALSE),"")</f>
        <v/>
      </c>
      <c r="E877" s="43" t="str">
        <f>IF(C877&gt;0,VLOOKUP(C877,C860:E865,3,FALSE),"")</f>
        <v/>
      </c>
      <c r="F877" s="5"/>
      <c r="G877" s="6"/>
      <c r="H877" s="6"/>
      <c r="I877" s="6"/>
      <c r="J877" s="6"/>
      <c r="K877" s="6"/>
      <c r="L877" s="6"/>
      <c r="M877" s="6"/>
      <c r="N877" s="6"/>
      <c r="O877" s="7"/>
    </row>
    <row r="878" spans="1:16" s="1" customFormat="1">
      <c r="C878" s="44">
        <f>IF(C865=6,6,IF(C864=5,3,IF(C863=4,4,IF(C862=3,0,0))))</f>
        <v>0</v>
      </c>
      <c r="D878" s="45" t="str">
        <f>IF(C878&gt;0,VLOOKUP(C878,C860:E865,2,FALSE),"")</f>
        <v/>
      </c>
      <c r="E878" s="46" t="str">
        <f>IF(C878&gt;0,VLOOKUP(C878,C860:E865,3,FALSE),"")</f>
        <v/>
      </c>
      <c r="F878" s="8"/>
      <c r="G878" s="9"/>
      <c r="H878" s="9"/>
      <c r="I878" s="9"/>
      <c r="J878" s="9"/>
      <c r="K878" s="9"/>
      <c r="L878" s="9"/>
      <c r="M878" s="9"/>
      <c r="N878" s="9"/>
      <c r="O878" s="10"/>
    </row>
    <row r="879" spans="1:16" s="11" customFormat="1" ht="10.5">
      <c r="C879" s="49"/>
      <c r="D879" s="50"/>
      <c r="E879" s="51"/>
      <c r="F879" s="12"/>
      <c r="G879" s="12"/>
      <c r="H879" s="12"/>
      <c r="I879" s="12"/>
      <c r="J879" s="12"/>
      <c r="K879" s="12"/>
      <c r="L879" s="12"/>
      <c r="M879" s="12"/>
      <c r="N879" s="12"/>
      <c r="O879" s="13"/>
    </row>
    <row r="880" spans="1:16" s="1" customFormat="1">
      <c r="A880" s="1">
        <v>5</v>
      </c>
      <c r="C880" s="41">
        <f>IF(C865=6,3,IF(C864=5,5,IF(C863=4,3,IF(C862=3,0,0))))</f>
        <v>0</v>
      </c>
      <c r="D880" s="42" t="str">
        <f>IF(C880&gt;0,VLOOKUP(C880,C860:E865,2,FALSE),"")</f>
        <v/>
      </c>
      <c r="E880" s="43" t="str">
        <f>IF(C880&gt;0,VLOOKUP(C880,C860:E865,3,FALSE),"")</f>
        <v/>
      </c>
      <c r="F880" s="5"/>
      <c r="G880" s="6"/>
      <c r="H880" s="6"/>
      <c r="I880" s="6"/>
      <c r="J880" s="6"/>
      <c r="K880" s="6"/>
      <c r="L880" s="6"/>
      <c r="M880" s="6"/>
      <c r="N880" s="6"/>
      <c r="O880" s="7"/>
    </row>
    <row r="881" spans="1:15" s="1" customFormat="1">
      <c r="C881" s="44">
        <f>IF(C865=6,1,IF(C864=5,4,IF(C863=4,4,IF(C862=3,0,0))))</f>
        <v>0</v>
      </c>
      <c r="D881" s="45" t="str">
        <f>IF(C881&gt;0,VLOOKUP(C881,C860:E865,2,FALSE),"")</f>
        <v/>
      </c>
      <c r="E881" s="46" t="str">
        <f>IF(C881&gt;0,VLOOKUP(C881,C860:E865,3,FALSE),"")</f>
        <v/>
      </c>
      <c r="F881" s="8"/>
      <c r="G881" s="9"/>
      <c r="H881" s="9"/>
      <c r="I881" s="9"/>
      <c r="J881" s="9"/>
      <c r="K881" s="9"/>
      <c r="L881" s="9"/>
      <c r="M881" s="9"/>
      <c r="N881" s="9"/>
      <c r="O881" s="10"/>
    </row>
    <row r="882" spans="1:15" s="11" customFormat="1" ht="10.5">
      <c r="C882" s="49"/>
      <c r="D882" s="50"/>
      <c r="E882" s="51"/>
      <c r="F882" s="12"/>
      <c r="G882" s="12"/>
      <c r="H882" s="12"/>
      <c r="I882" s="12"/>
      <c r="J882" s="12"/>
      <c r="K882" s="12"/>
      <c r="L882" s="12"/>
      <c r="M882" s="12"/>
      <c r="N882" s="12"/>
      <c r="O882" s="13"/>
    </row>
    <row r="883" spans="1:15" s="1" customFormat="1">
      <c r="A883" s="1">
        <v>6</v>
      </c>
      <c r="C883" s="41">
        <f>IF(C865=6,6,IF(C864=5,1,IF(C863=4,1,IF(C862=3,0,0))))</f>
        <v>0</v>
      </c>
      <c r="D883" s="42" t="str">
        <f>IF(C883&gt;0,VLOOKUP(C883,C860:E865,2,FALSE),"")</f>
        <v/>
      </c>
      <c r="E883" s="43" t="str">
        <f>IF(C883&gt;0,VLOOKUP(C883,C860:E865,3,FALSE),"")</f>
        <v/>
      </c>
      <c r="F883" s="5"/>
      <c r="G883" s="6"/>
      <c r="H883" s="6"/>
      <c r="I883" s="6"/>
      <c r="J883" s="6"/>
      <c r="K883" s="6"/>
      <c r="L883" s="6"/>
      <c r="M883" s="6"/>
      <c r="N883" s="6"/>
      <c r="O883" s="7"/>
    </row>
    <row r="884" spans="1:15" s="1" customFormat="1">
      <c r="C884" s="44">
        <f>IF(C865=6,4,IF(C864=5,3,IF(C863=4,2,IF(C862=3,0,0))))</f>
        <v>0</v>
      </c>
      <c r="D884" s="45" t="str">
        <f>IF(C884&gt;0,VLOOKUP(C884,C860:E865,2,FALSE),"")</f>
        <v/>
      </c>
      <c r="E884" s="46" t="str">
        <f>IF(C884&gt;0,VLOOKUP(C884,C860:E865,3,FALSE),"")</f>
        <v/>
      </c>
      <c r="F884" s="8"/>
      <c r="G884" s="9"/>
      <c r="H884" s="9"/>
      <c r="I884" s="9"/>
      <c r="J884" s="9"/>
      <c r="K884" s="9"/>
      <c r="L884" s="9"/>
      <c r="M884" s="9"/>
      <c r="N884" s="9"/>
      <c r="O884" s="10"/>
    </row>
    <row r="885" spans="1:15" s="11" customFormat="1" ht="10.5">
      <c r="C885" s="49"/>
      <c r="D885" s="50"/>
      <c r="E885" s="51"/>
      <c r="F885" s="12"/>
      <c r="G885" s="12"/>
      <c r="H885" s="12"/>
      <c r="I885" s="12"/>
      <c r="J885" s="12"/>
      <c r="K885" s="12"/>
      <c r="L885" s="12"/>
      <c r="M885" s="12"/>
      <c r="N885" s="12"/>
      <c r="O885" s="13"/>
    </row>
    <row r="886" spans="1:15" s="1" customFormat="1">
      <c r="A886" s="1">
        <v>7</v>
      </c>
      <c r="C886" s="41">
        <f>IF(C865=6,2,IF(C864=5,2,IF(C863=4,0,0)))</f>
        <v>0</v>
      </c>
      <c r="D886" s="42" t="str">
        <f>IF(C886&gt;0,VLOOKUP(C886,C860:E865,2,FALSE),"")</f>
        <v/>
      </c>
      <c r="E886" s="43" t="str">
        <f>IF(C886&gt;0,VLOOKUP(C886,C860:E865,3,FALSE),"")</f>
        <v/>
      </c>
      <c r="F886" s="5"/>
      <c r="G886" s="6"/>
      <c r="H886" s="6"/>
      <c r="I886" s="6"/>
      <c r="J886" s="6"/>
      <c r="K886" s="6"/>
      <c r="L886" s="6"/>
      <c r="M886" s="6"/>
      <c r="N886" s="6"/>
      <c r="O886" s="7"/>
    </row>
    <row r="887" spans="1:15" s="1" customFormat="1">
      <c r="C887" s="44">
        <f>IF(C865=6,5,IF(C864=5,5,IF(C863=4,0,0)))</f>
        <v>0</v>
      </c>
      <c r="D887" s="45" t="str">
        <f>IF(C887&gt;0,VLOOKUP(C887,C860:E865,2,FALSE),"")</f>
        <v/>
      </c>
      <c r="E887" s="46" t="str">
        <f>IF(C887&gt;0,VLOOKUP(C887,C860:E865,3,FALSE),"")</f>
        <v/>
      </c>
      <c r="F887" s="8"/>
      <c r="G887" s="9"/>
      <c r="H887" s="9"/>
      <c r="I887" s="9"/>
      <c r="J887" s="9"/>
      <c r="K887" s="9"/>
      <c r="L887" s="9"/>
      <c r="M887" s="9"/>
      <c r="N887" s="9"/>
      <c r="O887" s="10"/>
    </row>
    <row r="888" spans="1:15" s="11" customFormat="1" ht="10.5">
      <c r="C888" s="49"/>
      <c r="D888" s="50"/>
      <c r="E888" s="51"/>
      <c r="F888" s="12"/>
      <c r="G888" s="12"/>
      <c r="H888" s="12"/>
      <c r="I888" s="12"/>
      <c r="J888" s="12"/>
      <c r="K888" s="12"/>
      <c r="L888" s="12"/>
      <c r="M888" s="12"/>
      <c r="N888" s="12"/>
      <c r="O888" s="13"/>
    </row>
    <row r="889" spans="1:15" s="1" customFormat="1">
      <c r="A889" s="1">
        <v>8</v>
      </c>
      <c r="C889" s="41">
        <f>IF(C865=6,1,IF(C864=5,4,IF(C863=4,0,0)))</f>
        <v>0</v>
      </c>
      <c r="D889" s="42" t="str">
        <f>IF(C889&gt;0,VLOOKUP(C889,C860:E865,2,FALSE),"")</f>
        <v/>
      </c>
      <c r="E889" s="43" t="str">
        <f>IF(C889&gt;0,VLOOKUP(C889,C860:E865,3,FALSE),"")</f>
        <v/>
      </c>
      <c r="F889" s="5"/>
      <c r="G889" s="6"/>
      <c r="H889" s="6"/>
      <c r="I889" s="6"/>
      <c r="J889" s="6"/>
      <c r="K889" s="6"/>
      <c r="L889" s="6"/>
      <c r="M889" s="6"/>
      <c r="N889" s="6"/>
      <c r="O889" s="7"/>
    </row>
    <row r="890" spans="1:15" s="1" customFormat="1">
      <c r="C890" s="44">
        <f>IF(C865=6,4,IF(C864=5,1,IF(C863=4,0,0)))</f>
        <v>0</v>
      </c>
      <c r="D890" s="45" t="str">
        <f>IF(C890&gt;0,VLOOKUP(C890,C860:E865,2,FALSE),"")</f>
        <v/>
      </c>
      <c r="E890" s="46" t="str">
        <f>IF(C890&gt;0,VLOOKUP(C890,C860:E865,3,FALSE),"")</f>
        <v/>
      </c>
      <c r="F890" s="8"/>
      <c r="G890" s="9"/>
      <c r="H890" s="9"/>
      <c r="I890" s="9"/>
      <c r="J890" s="9"/>
      <c r="K890" s="9"/>
      <c r="L890" s="9"/>
      <c r="M890" s="9"/>
      <c r="N890" s="9"/>
      <c r="O890" s="10"/>
    </row>
    <row r="891" spans="1:15" s="11" customFormat="1" ht="10.5">
      <c r="C891" s="49"/>
      <c r="D891" s="50"/>
      <c r="E891" s="51"/>
      <c r="F891" s="12"/>
      <c r="G891" s="12"/>
      <c r="H891" s="12"/>
      <c r="I891" s="12"/>
      <c r="J891" s="12"/>
      <c r="K891" s="12"/>
      <c r="L891" s="12"/>
      <c r="M891" s="12"/>
      <c r="N891" s="12"/>
      <c r="O891" s="13"/>
    </row>
    <row r="892" spans="1:15" s="1" customFormat="1">
      <c r="A892" s="1">
        <v>9</v>
      </c>
      <c r="C892" s="41">
        <f>IF(C865=6,5,IF(C864=5,3,IF(C863=4,0,0)))</f>
        <v>0</v>
      </c>
      <c r="D892" s="42" t="str">
        <f>IF(C892&gt;0,VLOOKUP(C892,C860:E865,2,FALSE),"")</f>
        <v/>
      </c>
      <c r="E892" s="43" t="str">
        <f>IF(C892&gt;0,VLOOKUP(C892,C860:E865,3,FALSE),"")</f>
        <v/>
      </c>
      <c r="F892" s="5"/>
      <c r="G892" s="6"/>
      <c r="H892" s="6"/>
      <c r="I892" s="6"/>
      <c r="J892" s="6"/>
      <c r="K892" s="6"/>
      <c r="L892" s="6"/>
      <c r="M892" s="6"/>
      <c r="N892" s="6"/>
      <c r="O892" s="7"/>
    </row>
    <row r="893" spans="1:15" s="1" customFormat="1">
      <c r="C893" s="44">
        <f>IF(C865=6,3,IF(C864=5,5,IF(C863=4,0,0)))</f>
        <v>0</v>
      </c>
      <c r="D893" s="45" t="str">
        <f>IF(C893&gt;0,VLOOKUP(C893,C860:E865,2,FALSE),"")</f>
        <v/>
      </c>
      <c r="E893" s="46" t="str">
        <f>IF(C893&gt;0,VLOOKUP(C893,C860:E865,3,FALSE),"")</f>
        <v/>
      </c>
      <c r="F893" s="8"/>
      <c r="G893" s="9"/>
      <c r="H893" s="9"/>
      <c r="I893" s="9"/>
      <c r="J893" s="9"/>
      <c r="K893" s="9"/>
      <c r="L893" s="9"/>
      <c r="M893" s="9"/>
      <c r="N893" s="9"/>
      <c r="O893" s="10"/>
    </row>
    <row r="894" spans="1:15" s="11" customFormat="1" ht="10.5">
      <c r="C894" s="49"/>
      <c r="D894" s="50"/>
      <c r="E894" s="51"/>
      <c r="F894" s="12"/>
      <c r="G894" s="12"/>
      <c r="H894" s="12"/>
      <c r="I894" s="12"/>
      <c r="J894" s="12"/>
      <c r="K894" s="12"/>
      <c r="L894" s="12"/>
      <c r="M894" s="12"/>
      <c r="N894" s="12"/>
      <c r="O894" s="13"/>
    </row>
    <row r="895" spans="1:15" s="1" customFormat="1">
      <c r="A895" s="1">
        <v>10</v>
      </c>
      <c r="C895" s="41">
        <f>IF(C865=6,1,IF(C864=5,4,IF(C863=4,0,0)))</f>
        <v>0</v>
      </c>
      <c r="D895" s="42" t="str">
        <f>IF(C895&gt;0,VLOOKUP(C895,C860:E865,2,FALSE),"")</f>
        <v/>
      </c>
      <c r="E895" s="43" t="str">
        <f>IF(C895&gt;0,VLOOKUP(C895,C860:E865,3,FALSE),"")</f>
        <v/>
      </c>
      <c r="F895" s="5"/>
      <c r="G895" s="6"/>
      <c r="H895" s="6"/>
      <c r="I895" s="6"/>
      <c r="J895" s="6"/>
      <c r="K895" s="6"/>
      <c r="L895" s="6"/>
      <c r="M895" s="6"/>
      <c r="N895" s="6"/>
      <c r="O895" s="7"/>
    </row>
    <row r="896" spans="1:15" s="1" customFormat="1">
      <c r="C896" s="44">
        <f>IF(C865=6,6,IF(C864=5,2,IF(C863=4,0,0)))</f>
        <v>0</v>
      </c>
      <c r="D896" s="45" t="str">
        <f>IF(C896&gt;0,VLOOKUP(C896,C860:E865,2,FALSE),"")</f>
        <v/>
      </c>
      <c r="E896" s="46" t="str">
        <f>IF(C896&gt;0,VLOOKUP(C896,C860:E865,3,FALSE),"")</f>
        <v/>
      </c>
      <c r="F896" s="8"/>
      <c r="G896" s="9"/>
      <c r="H896" s="9"/>
      <c r="I896" s="9"/>
      <c r="J896" s="9"/>
      <c r="K896" s="9"/>
      <c r="L896" s="9"/>
      <c r="M896" s="9"/>
      <c r="N896" s="9"/>
      <c r="O896" s="10"/>
    </row>
    <row r="897" spans="1:15" s="11" customFormat="1" ht="10.5">
      <c r="C897" s="49"/>
      <c r="D897" s="50"/>
      <c r="E897" s="51"/>
      <c r="F897" s="12"/>
      <c r="G897" s="12"/>
      <c r="H897" s="12"/>
      <c r="I897" s="12"/>
      <c r="J897" s="12"/>
      <c r="K897" s="12"/>
      <c r="L897" s="12"/>
      <c r="M897" s="12"/>
      <c r="N897" s="12"/>
      <c r="O897" s="13"/>
    </row>
    <row r="898" spans="1:15" s="1" customFormat="1">
      <c r="A898" s="1">
        <v>11</v>
      </c>
      <c r="C898" s="41">
        <f>IF(C865=6,4,0)</f>
        <v>0</v>
      </c>
      <c r="D898" s="42" t="str">
        <f>IF(C898&gt;0,VLOOKUP(C898,C860:E865,2,FALSE),"")</f>
        <v/>
      </c>
      <c r="E898" s="43" t="str">
        <f>IF(C898&gt;0,VLOOKUP(C898,C860:E865,3,FALSE),"")</f>
        <v/>
      </c>
      <c r="F898" s="5"/>
      <c r="G898" s="6"/>
      <c r="H898" s="6"/>
      <c r="I898" s="6"/>
      <c r="J898" s="6"/>
      <c r="K898" s="6"/>
      <c r="L898" s="6"/>
      <c r="M898" s="6"/>
      <c r="N898" s="6"/>
      <c r="O898" s="7"/>
    </row>
    <row r="899" spans="1:15" s="1" customFormat="1">
      <c r="C899" s="44">
        <f>IF(C865=6,2,0)</f>
        <v>0</v>
      </c>
      <c r="D899" s="45" t="str">
        <f>IF(C899&gt;0,VLOOKUP(C899,C860:E865,2,FALSE),"")</f>
        <v/>
      </c>
      <c r="E899" s="46" t="str">
        <f>IF(C899&gt;0,VLOOKUP(C899,C860:E865,3,FALSE),"")</f>
        <v/>
      </c>
      <c r="F899" s="8"/>
      <c r="G899" s="9"/>
      <c r="H899" s="9"/>
      <c r="I899" s="9"/>
      <c r="J899" s="9"/>
      <c r="K899" s="9"/>
      <c r="L899" s="9"/>
      <c r="M899" s="9"/>
      <c r="N899" s="9"/>
      <c r="O899" s="10"/>
    </row>
    <row r="900" spans="1:15" s="11" customFormat="1" ht="10.5">
      <c r="C900" s="49"/>
      <c r="D900" s="50"/>
      <c r="E900" s="51"/>
      <c r="F900" s="12"/>
      <c r="G900" s="12"/>
      <c r="H900" s="12"/>
      <c r="I900" s="12"/>
      <c r="J900" s="12"/>
      <c r="K900" s="12"/>
      <c r="L900" s="12"/>
      <c r="M900" s="12"/>
      <c r="N900" s="12"/>
      <c r="O900" s="13"/>
    </row>
    <row r="901" spans="1:15" s="1" customFormat="1">
      <c r="A901" s="1">
        <v>12</v>
      </c>
      <c r="C901" s="41">
        <f>IF(C865=6,3,0)</f>
        <v>0</v>
      </c>
      <c r="D901" s="42" t="str">
        <f>IF(C901&gt;0,VLOOKUP(C901,C860:E865,2,FALSE),"")</f>
        <v/>
      </c>
      <c r="E901" s="43" t="str">
        <f>IF(C901&gt;0,VLOOKUP(C901,C860:E865,3,FALSE),"")</f>
        <v/>
      </c>
      <c r="F901" s="5"/>
      <c r="G901" s="6"/>
      <c r="H901" s="6"/>
      <c r="I901" s="6"/>
      <c r="J901" s="6"/>
      <c r="K901" s="6"/>
      <c r="L901" s="6"/>
      <c r="M901" s="6"/>
      <c r="N901" s="6"/>
      <c r="O901" s="7"/>
    </row>
    <row r="902" spans="1:15" s="1" customFormat="1" ht="13.5" customHeight="1">
      <c r="C902" s="44">
        <f>IF(C865=6,6,0)</f>
        <v>0</v>
      </c>
      <c r="D902" s="45" t="str">
        <f>IF(C902&gt;0,VLOOKUP(C902,C860:E865,2,FALSE),"")</f>
        <v/>
      </c>
      <c r="E902" s="46" t="str">
        <f>IF(C902&gt;0,VLOOKUP(C902,C860:E865,3,FALSE),"")</f>
        <v/>
      </c>
      <c r="F902" s="8"/>
      <c r="G902" s="9"/>
      <c r="H902" s="9"/>
      <c r="I902" s="9"/>
      <c r="J902" s="9"/>
      <c r="K902" s="9"/>
      <c r="L902" s="9"/>
      <c r="M902" s="9"/>
      <c r="N902" s="9"/>
      <c r="O902" s="10"/>
    </row>
    <row r="903" spans="1:15" s="11" customFormat="1" ht="10.5">
      <c r="C903" s="49"/>
      <c r="D903" s="50"/>
      <c r="E903" s="51"/>
      <c r="F903" s="12"/>
      <c r="G903" s="12"/>
      <c r="H903" s="12"/>
      <c r="I903" s="12"/>
      <c r="J903" s="12"/>
      <c r="K903" s="12"/>
      <c r="L903" s="12"/>
      <c r="M903" s="12"/>
      <c r="N903" s="12"/>
      <c r="O903" s="13"/>
    </row>
    <row r="904" spans="1:15" s="1" customFormat="1">
      <c r="A904" s="1">
        <v>13</v>
      </c>
      <c r="C904" s="41">
        <f>IF(C865=6,5,0)</f>
        <v>0</v>
      </c>
      <c r="D904" s="42" t="str">
        <f>IF(C904&gt;0,VLOOKUP(C904,C860:E865,2,FALSE),"")</f>
        <v/>
      </c>
      <c r="E904" s="43" t="str">
        <f>IF(C904&gt;0,VLOOKUP(C904,C860:E865,3,FALSE),"")</f>
        <v/>
      </c>
      <c r="F904" s="5"/>
      <c r="G904" s="6"/>
      <c r="H904" s="6"/>
      <c r="I904" s="6"/>
      <c r="J904" s="6"/>
      <c r="K904" s="6"/>
      <c r="L904" s="6"/>
      <c r="M904" s="6"/>
      <c r="N904" s="6"/>
      <c r="O904" s="7"/>
    </row>
    <row r="905" spans="1:15" s="1" customFormat="1">
      <c r="C905" s="44">
        <f>IF(C865=6,1,0)</f>
        <v>0</v>
      </c>
      <c r="D905" s="45" t="str">
        <f>IF(C905&gt;0,VLOOKUP(C905,C860:E865,2,FALSE),"")</f>
        <v/>
      </c>
      <c r="E905" s="46" t="str">
        <f>IF(C905&gt;0,VLOOKUP(C905,C860:E865,3,FALSE),"")</f>
        <v/>
      </c>
      <c r="F905" s="8"/>
      <c r="G905" s="9"/>
      <c r="H905" s="9"/>
      <c r="I905" s="9"/>
      <c r="J905" s="9"/>
      <c r="K905" s="9"/>
      <c r="L905" s="9"/>
      <c r="M905" s="9"/>
      <c r="N905" s="9"/>
      <c r="O905" s="10"/>
    </row>
    <row r="906" spans="1:15" s="11" customFormat="1" ht="10.5">
      <c r="C906" s="49"/>
      <c r="D906" s="50"/>
      <c r="E906" s="51"/>
      <c r="F906" s="12"/>
      <c r="G906" s="12"/>
      <c r="H906" s="12"/>
      <c r="I906" s="12"/>
      <c r="J906" s="12"/>
      <c r="K906" s="12"/>
      <c r="L906" s="12"/>
      <c r="M906" s="12"/>
      <c r="N906" s="12"/>
      <c r="O906" s="13"/>
    </row>
    <row r="907" spans="1:15" s="1" customFormat="1">
      <c r="A907" s="1">
        <v>14</v>
      </c>
      <c r="C907" s="41">
        <f>IF(C865=6,3,0)</f>
        <v>0</v>
      </c>
      <c r="D907" s="42" t="str">
        <f>IF(C907&gt;0,VLOOKUP(C907,C860:E865,2,FALSE),"")</f>
        <v/>
      </c>
      <c r="E907" s="43" t="str">
        <f>IF(C907&gt;0,VLOOKUP(C907,C860:E865,3,FALSE),"")</f>
        <v/>
      </c>
      <c r="F907" s="5"/>
      <c r="G907" s="6"/>
      <c r="H907" s="6"/>
      <c r="I907" s="6"/>
      <c r="J907" s="6"/>
      <c r="K907" s="6"/>
      <c r="L907" s="6"/>
      <c r="M907" s="6"/>
      <c r="N907" s="6"/>
      <c r="O907" s="7"/>
    </row>
    <row r="908" spans="1:15" s="1" customFormat="1">
      <c r="C908" s="44">
        <f>IF(C865=6,4,0)</f>
        <v>0</v>
      </c>
      <c r="D908" s="45" t="str">
        <f>IF(C908&gt;0,VLOOKUP(C908,C860:E865,2,FALSE),"")</f>
        <v/>
      </c>
      <c r="E908" s="46" t="str">
        <f>IF(C908&gt;0,VLOOKUP(C908,C860:E865,3,FALSE),"")</f>
        <v/>
      </c>
      <c r="F908" s="8"/>
      <c r="G908" s="9"/>
      <c r="H908" s="9"/>
      <c r="I908" s="9"/>
      <c r="J908" s="9"/>
      <c r="K908" s="9"/>
      <c r="L908" s="9"/>
      <c r="M908" s="9"/>
      <c r="N908" s="9"/>
      <c r="O908" s="10"/>
    </row>
    <row r="909" spans="1:15" s="11" customFormat="1" ht="10.5">
      <c r="C909" s="49"/>
      <c r="D909" s="50"/>
      <c r="E909" s="51"/>
      <c r="F909" s="12"/>
      <c r="G909" s="12"/>
      <c r="H909" s="12"/>
      <c r="I909" s="12"/>
      <c r="J909" s="12"/>
      <c r="K909" s="12"/>
      <c r="L909" s="12"/>
      <c r="M909" s="12"/>
      <c r="N909" s="12"/>
      <c r="O909" s="13"/>
    </row>
    <row r="910" spans="1:15" s="1" customFormat="1">
      <c r="A910" s="1">
        <v>15</v>
      </c>
      <c r="C910" s="41">
        <f>IF(C865=6,6,0)</f>
        <v>0</v>
      </c>
      <c r="D910" s="42" t="str">
        <f>IF(C910&gt;0,VLOOKUP(C910,C860:E865,2,FALSE),"")</f>
        <v/>
      </c>
      <c r="E910" s="43" t="str">
        <f>IF(C910&gt;0,VLOOKUP(C910,C860:E865,3,FALSE),"")</f>
        <v/>
      </c>
      <c r="F910" s="5"/>
      <c r="G910" s="6"/>
      <c r="H910" s="6"/>
      <c r="I910" s="6"/>
      <c r="J910" s="6"/>
      <c r="K910" s="6"/>
      <c r="L910" s="6"/>
      <c r="M910" s="6"/>
      <c r="N910" s="6"/>
      <c r="O910" s="7"/>
    </row>
    <row r="911" spans="1:15" s="1" customFormat="1">
      <c r="C911" s="44">
        <f>IF(C865=6,2,0)</f>
        <v>0</v>
      </c>
      <c r="D911" s="45" t="str">
        <f>IF(C911&gt;0,VLOOKUP(C911,C860:E865,2,FALSE),"")</f>
        <v/>
      </c>
      <c r="E911" s="46" t="str">
        <f>IF(C911&gt;0,VLOOKUP(C911,C860:E865,3,FALSE),"")</f>
        <v/>
      </c>
      <c r="F911" s="8"/>
      <c r="G911" s="9"/>
      <c r="H911" s="9"/>
      <c r="I911" s="9"/>
      <c r="J911" s="9"/>
      <c r="K911" s="9"/>
      <c r="L911" s="9"/>
      <c r="M911" s="9"/>
      <c r="N911" s="9"/>
      <c r="O911" s="10"/>
    </row>
    <row r="912" spans="1:15" s="104" customFormat="1" ht="10.5">
      <c r="A912" s="324"/>
      <c r="B912" s="324"/>
      <c r="C912" s="324"/>
      <c r="D912" s="324"/>
      <c r="E912" s="324"/>
      <c r="F912" s="324"/>
      <c r="G912" s="324"/>
      <c r="H912" s="324"/>
      <c r="I912" s="324"/>
      <c r="J912" s="324"/>
      <c r="K912" s="324"/>
      <c r="L912" s="324"/>
    </row>
    <row r="913" spans="1:5" s="263" customFormat="1">
      <c r="A913" s="263">
        <v>15</v>
      </c>
      <c r="C913" s="263" t="b">
        <v>0</v>
      </c>
      <c r="D913" s="56" t="s">
        <v>54</v>
      </c>
      <c r="E913" s="56" t="s">
        <v>66</v>
      </c>
    </row>
  </sheetData>
  <sheetProtection sheet="1" objects="1" scenarios="1" formatCells="0" selectLockedCells="1"/>
  <mergeCells count="114">
    <mergeCell ref="A3:E3"/>
    <mergeCell ref="K3:O3"/>
    <mergeCell ref="N4:O4"/>
    <mergeCell ref="A2:J2"/>
    <mergeCell ref="A1:J1"/>
    <mergeCell ref="L1:O1"/>
    <mergeCell ref="L2:O2"/>
    <mergeCell ref="N175:O175"/>
    <mergeCell ref="K60:O60"/>
    <mergeCell ref="N118:O118"/>
    <mergeCell ref="A60:E60"/>
    <mergeCell ref="N61:O61"/>
    <mergeCell ref="A117:E117"/>
    <mergeCell ref="K117:O117"/>
    <mergeCell ref="A174:E174"/>
    <mergeCell ref="K174:O174"/>
    <mergeCell ref="A116:J116"/>
    <mergeCell ref="L116:O116"/>
    <mergeCell ref="A172:J172"/>
    <mergeCell ref="L172:O172"/>
    <mergeCell ref="A173:J173"/>
    <mergeCell ref="L173:O173"/>
    <mergeCell ref="A58:J58"/>
    <mergeCell ref="L58:O58"/>
    <mergeCell ref="A573:E573"/>
    <mergeCell ref="K573:O573"/>
    <mergeCell ref="A572:J572"/>
    <mergeCell ref="L572:O572"/>
    <mergeCell ref="A628:J628"/>
    <mergeCell ref="L628:O628"/>
    <mergeCell ref="A629:J629"/>
    <mergeCell ref="L629:O629"/>
    <mergeCell ref="A685:J685"/>
    <mergeCell ref="L685:O685"/>
    <mergeCell ref="N574:O574"/>
    <mergeCell ref="A630:E630"/>
    <mergeCell ref="K630:O630"/>
    <mergeCell ref="N631:O631"/>
    <mergeCell ref="A912:L912"/>
    <mergeCell ref="A801:E801"/>
    <mergeCell ref="K801:O801"/>
    <mergeCell ref="N802:O802"/>
    <mergeCell ref="A855:L855"/>
    <mergeCell ref="A858:E858"/>
    <mergeCell ref="K858:O858"/>
    <mergeCell ref="A799:J799"/>
    <mergeCell ref="L799:O799"/>
    <mergeCell ref="A800:J800"/>
    <mergeCell ref="L800:O800"/>
    <mergeCell ref="A856:J856"/>
    <mergeCell ref="N859:O859"/>
    <mergeCell ref="L856:O856"/>
    <mergeCell ref="A857:J857"/>
    <mergeCell ref="L857:O857"/>
    <mergeCell ref="A59:J59"/>
    <mergeCell ref="L59:O59"/>
    <mergeCell ref="A115:J115"/>
    <mergeCell ref="L115:O115"/>
    <mergeCell ref="L343:O343"/>
    <mergeCell ref="A344:J344"/>
    <mergeCell ref="L344:O344"/>
    <mergeCell ref="A400:J400"/>
    <mergeCell ref="L400:O400"/>
    <mergeCell ref="A229:J229"/>
    <mergeCell ref="L229:O229"/>
    <mergeCell ref="A230:J230"/>
    <mergeCell ref="L230:O230"/>
    <mergeCell ref="A286:J286"/>
    <mergeCell ref="L286:O286"/>
    <mergeCell ref="A288:E288"/>
    <mergeCell ref="A231:E231"/>
    <mergeCell ref="K231:O231"/>
    <mergeCell ref="N232:O232"/>
    <mergeCell ref="K288:O288"/>
    <mergeCell ref="N346:O346"/>
    <mergeCell ref="N289:O289"/>
    <mergeCell ref="A345:E345"/>
    <mergeCell ref="K345:O345"/>
    <mergeCell ref="A287:J287"/>
    <mergeCell ref="L287:O287"/>
    <mergeCell ref="A343:J343"/>
    <mergeCell ref="A514:J514"/>
    <mergeCell ref="L514:O514"/>
    <mergeCell ref="A515:J515"/>
    <mergeCell ref="L515:O515"/>
    <mergeCell ref="A571:J571"/>
    <mergeCell ref="L571:O571"/>
    <mergeCell ref="A401:J401"/>
    <mergeCell ref="L401:O401"/>
    <mergeCell ref="A457:J457"/>
    <mergeCell ref="L457:O457"/>
    <mergeCell ref="A458:J458"/>
    <mergeCell ref="L458:O458"/>
    <mergeCell ref="N517:O517"/>
    <mergeCell ref="N460:O460"/>
    <mergeCell ref="K516:O516"/>
    <mergeCell ref="A516:E516"/>
    <mergeCell ref="A459:E459"/>
    <mergeCell ref="K459:O459"/>
    <mergeCell ref="A402:E402"/>
    <mergeCell ref="K402:O402"/>
    <mergeCell ref="N403:O403"/>
    <mergeCell ref="A744:E744"/>
    <mergeCell ref="K744:O744"/>
    <mergeCell ref="N745:O745"/>
    <mergeCell ref="A686:J686"/>
    <mergeCell ref="L686:O686"/>
    <mergeCell ref="A742:J742"/>
    <mergeCell ref="L742:O742"/>
    <mergeCell ref="A743:J743"/>
    <mergeCell ref="L743:O743"/>
    <mergeCell ref="A687:E687"/>
    <mergeCell ref="K687:O687"/>
    <mergeCell ref="N688:O688"/>
  </mergeCells>
  <phoneticPr fontId="2"/>
  <conditionalFormatting sqref="I9:I10 J10 F19:N57 F13:N14 G5:K5 H6:K6 I7:K7 J8:K8 K9 F6:F10 F16:N17 G7:G10 H8:H10 F76:N114 F133:N171 F190:N228 F247:N285 F304:N342 F361:N399 F418:N456 F475:N513 F532:N570 F589:N627 F646:N684 F703:N741 F760:N798 F817:N854 F70:N71 F127:N128 F184:N185 F241:N242 F298:N299 F355:N356 F412:N413 F469:N470 F526:N527 F583:N584 F640:N641 F697:N698 F754:N755 F811:N812 F73:N74 F130:N131 F187:N188 F244:N245 F301:N302 F358:N359 F415:N416 F472:N473 F529:N530 F586:N587 F643:N644 F700:N701 F757:N758 F814:N815 F874:N911 F868:N869 F871:N872">
    <cfRule type="expression" dxfId="81" priority="40" stopIfTrue="1">
      <formula>#REF!=1</formula>
    </cfRule>
  </conditionalFormatting>
  <conditionalFormatting sqref="I66:I67 J67 G62:K62 H63:K63 I64:K64 J65:K65 K66 F63:F67 G64:G67 H65:H67">
    <cfRule type="expression" dxfId="80" priority="39" stopIfTrue="1">
      <formula>#REF!=1</formula>
    </cfRule>
  </conditionalFormatting>
  <conditionalFormatting sqref="I123:I124 J124 G119:K119 H120:K120 I121:K121 J122:K122 K123 F120:F124 G121:G124 H122:H124">
    <cfRule type="expression" dxfId="79" priority="38" stopIfTrue="1">
      <formula>#REF!=1</formula>
    </cfRule>
  </conditionalFormatting>
  <conditionalFormatting sqref="I180:I181 J181 G176:K176 H177:K177 I178:K178 J179:K179 K180 F177:F181 G178:G181 H179:H181">
    <cfRule type="expression" dxfId="78" priority="37" stopIfTrue="1">
      <formula>#REF!=1</formula>
    </cfRule>
  </conditionalFormatting>
  <conditionalFormatting sqref="I237:I238 J238 G233:K233 H234:K234 I235:K235 J236:K236 K237 F234:F238 G235:G238 H236:H238">
    <cfRule type="expression" dxfId="77" priority="36" stopIfTrue="1">
      <formula>#REF!=1</formula>
    </cfRule>
  </conditionalFormatting>
  <conditionalFormatting sqref="I294:I295 J295 G290:K290 H291:K291 I292:K292 J293:K293 K294 F291:F295 G292:G295 H293:H295">
    <cfRule type="expression" dxfId="76" priority="35" stopIfTrue="1">
      <formula>#REF!=1</formula>
    </cfRule>
  </conditionalFormatting>
  <conditionalFormatting sqref="I351:I352 J352 G347:K347 H348:K348 I349:K349 J350:K350 K351 F348:F352 G349:G352 H350:H352">
    <cfRule type="expression" dxfId="75" priority="34" stopIfTrue="1">
      <formula>#REF!=1</formula>
    </cfRule>
  </conditionalFormatting>
  <conditionalFormatting sqref="I408:I409 J409 G404:K404 H405:K405 I406:K406 J407:K407 K408 F405:F409 G406:G409 H407:H409">
    <cfRule type="expression" dxfId="74" priority="33" stopIfTrue="1">
      <formula>#REF!=1</formula>
    </cfRule>
  </conditionalFormatting>
  <conditionalFormatting sqref="I465:I466 J466 G461:K461 H462:K462 I463:K463 J464:K464 K465 F462:F466 G463:G466 H464:H466">
    <cfRule type="expression" dxfId="73" priority="32" stopIfTrue="1">
      <formula>#REF!=1</formula>
    </cfRule>
  </conditionalFormatting>
  <conditionalFormatting sqref="I522:I523 J523 G518:K518 H519:K519 I520:K520 J521:K521 K522 F519:F523 G520:G523 H521:H523">
    <cfRule type="expression" dxfId="72" priority="31" stopIfTrue="1">
      <formula>#REF!=1</formula>
    </cfRule>
  </conditionalFormatting>
  <conditionalFormatting sqref="I579:I580 J580 G575:K575 H576:K576 I577:K577 J578:K578 K579 F576:F580 G577:G580 H578:H580">
    <cfRule type="expression" dxfId="71" priority="30" stopIfTrue="1">
      <formula>#REF!=1</formula>
    </cfRule>
  </conditionalFormatting>
  <conditionalFormatting sqref="I636:I637 J637 G632:K632 H633:K633 I634:K634 J635:K635 K636 F633:F637 G634:G637 H635:H637">
    <cfRule type="expression" dxfId="70" priority="29" stopIfTrue="1">
      <formula>#REF!=1</formula>
    </cfRule>
  </conditionalFormatting>
  <conditionalFormatting sqref="I693:I694 J694 G689:K689 H690:K690 I691:K691 J692:K692 K693 F690:F694 G691:G694 H692:H694">
    <cfRule type="expression" dxfId="69" priority="28" stopIfTrue="1">
      <formula>#REF!=1</formula>
    </cfRule>
  </conditionalFormatting>
  <conditionalFormatting sqref="I750:I751 J751 G746:K746 H747:K747 I748:K748 J749:K749 K750 F747:F751 G748:G751 H749:H751">
    <cfRule type="expression" dxfId="68" priority="27" stopIfTrue="1">
      <formula>#REF!=1</formula>
    </cfRule>
  </conditionalFormatting>
  <conditionalFormatting sqref="I807:I808 J808 G803:K803 H804:K804 I805:K805 J806:K806 K807 F804:F808 G805:G808 H806:H808">
    <cfRule type="expression" dxfId="67" priority="26" stopIfTrue="1">
      <formula>#REF!=1</formula>
    </cfRule>
  </conditionalFormatting>
  <conditionalFormatting sqref="I864:I865 J865 G860:K860 H861:K861 I862:K862 J863:K863 K864 F861:F865 G862:G865 H863:H865">
    <cfRule type="expression" dxfId="66" priority="25" stopIfTrue="1">
      <formula>#REF!=1</formula>
    </cfRule>
  </conditionalFormatting>
  <conditionalFormatting sqref="C914:C1048576 C3:C57 C60:C114 C117:C171 C174:C228 C231:C285 C288:C342 C345:C399 C402:C456 C459:C513 C516:C570 C573:C627 C630:C684 C687:C741 C744:C798 C801:C855 C858:C912">
    <cfRule type="cellIs" dxfId="65" priority="4" operator="equal">
      <formula>0</formula>
    </cfRule>
  </conditionalFormatting>
  <conditionalFormatting sqref="C913">
    <cfRule type="cellIs" dxfId="64" priority="3" operator="equal">
      <formula>0</formula>
    </cfRule>
  </conditionalFormatting>
  <conditionalFormatting sqref="D913">
    <cfRule type="cellIs" dxfId="63" priority="1" stopIfTrue="1" operator="equal">
      <formula>""</formula>
    </cfRule>
    <cfRule type="cellIs" dxfId="62" priority="2" stopIfTrue="1" operator="notEqual">
      <formula>""</formula>
    </cfRule>
  </conditionalFormatting>
  <dataValidations count="1">
    <dataValidation type="custom" imeMode="off" allowBlank="1" showInputMessage="1" showErrorMessage="1" errorTitle="入力エラー" error="「０」から「５」、または「Ｖ０」から「Ｖ５」です。" sqref="F871:N872 J409 I408:I409 H407:H409 G406:G409 F405:F409 K408 J407:K407 I406:K406 H405:K405 G404:K404 F529:N530 F526:N527 F472:N473 J295 I294:I295 H293:H295 G292:G295 F291:F295 K294 J293:K293 I292:K292 H291:K291 G290:K290 F415:N416 F412:N413 F418:N456 J181 I180:I181 H179:H181 G178:G181 F177:F181 K180 J179:K179 I178:K178 H177:K177 G176:K176 F301:N302 F298:N299 F304:N342 J67 I66:I67 H65:H67 G64:G67 F63:F67 K66 J65:K65 I64:K64 H63:K63 G62:K62 F187:N188 F184:N185 F190:N228 J751 I750:I751 H749:H751 G748:G751 F747:F751 K750 J749:K749 I748:K748 F73:N74 F70:N71 F76:N114 F19:N57 J10 I9:I10 H8:H10 G7:G10 F6:F10 K9 J8:K8 I7:K7 H6:K6 G5:K5 F13:N14 F16:N17 J808 I807:I808 H806:H808 G805:G808 F804:F808 K807 J806:K806 I805:K805 F874:N912 F868:N869 F133:N171 F127:N128 F130:N131 J124 I123:I124 H122:H124 G121:G124 F120:F124 K123 J122:K122 I121:K121 H120:K120 G119:K119 F247:N285 F241:N242 F244:N245 J238 I237:I238 H236:H238 G235:G238 F234:F238 K237 J236:K236 I235:K235 H234:K234 G233:K233 F361:N399 F355:N356 F358:N359 J352 I351:I352 H350:H352 G349:G352 F348:F352 K351 J350:K350 I349:K349 H348:K348 G347:K347 F475:N513 F469:N470 F532:N570 J466 I465:I466 H464:H466 G463:G466 F462:F466 K465 J464:K464 I463:K463 H462:K462 G461:K461 F586:N587 F583:N584 F589:N627 F640:N641 J523 I522:I523 H521:H523 G520:G523 F519:F523 K522 J521:K521 I520:K520 H519:K519 G518:K518 F643:N644 F646:N684 F700:N701 F697:N698 J580 I579:I580 H578:H580 G577:G580 F576:F580 K579 J578:K578 I577:K577 H576:K576 G575:K575 F703:N741 J637 F757:N758 F754:N755 I636:I637 H635:H637 G634:G637 F633:F637 K636 J635:K635 I634:K634 H633:K633 G632:K632 F760:N798 J694 I693:I694 F814:N815 F811:N812 H692:H694 G691:G694 F690:F694 K693 J692:K692 I691:K691 H690:K690 G689:K689 F817:N855 H747:K747 G746:K746 H804:K804 G803:K803 J865 I864:I865 H863:H865 G862:G865 F861:F865 K864 J863:K863 I862:K862 H861:K861 G860:K860">
      <formula1>OR(AND(F5&gt;=0,F5&lt;=5),F5="V0",F5="V1",F5="V2",F5="V3",F5="V4",F5="V5")</formula1>
    </dataValidation>
  </dataValidations>
  <pageMargins left="0.59055118110236227" right="0.59055118110236227" top="0.59055118110236227" bottom="0.59055118110236227" header="0.23622047244094491" footer="0.23622047244094491"/>
  <pageSetup paperSize="9" orientation="portrait" horizontalDpi="360" verticalDpi="360" r:id="rId1"/>
  <headerFooter alignWithMargins="0"/>
  <rowBreaks count="15" manualBreakCount="15">
    <brk id="57" max="16383" man="1"/>
    <brk id="114" max="16383" man="1"/>
    <brk id="171" max="16383" man="1"/>
    <brk id="228" max="16383" man="1"/>
    <brk id="285" max="16383" man="1"/>
    <brk id="342" max="16383" man="1"/>
    <brk id="399" max="16383" man="1"/>
    <brk id="456" max="16383" man="1"/>
    <brk id="513" max="16383" man="1"/>
    <brk id="570" max="16383" man="1"/>
    <brk id="627" max="16383" man="1"/>
    <brk id="684" max="16383" man="1"/>
    <brk id="741" max="16383" man="1"/>
    <brk id="798" max="16383" man="1"/>
    <brk id="8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96"/>
  <sheetViews>
    <sheetView view="pageBreakPreview" topLeftCell="A49" zoomScaleNormal="100" zoomScaleSheetLayoutView="100" workbookViewId="0">
      <selection activeCell="A55" sqref="A55:M55"/>
    </sheetView>
  </sheetViews>
  <sheetFormatPr defaultColWidth="3.42578125" defaultRowHeight="14.25"/>
  <cols>
    <col min="1" max="1" width="6.85546875" style="116" customWidth="1"/>
    <col min="2" max="2" width="16" style="131" bestFit="1" customWidth="1"/>
    <col min="3" max="3" width="14.140625" style="132" customWidth="1"/>
    <col min="4" max="9" width="8.42578125" style="116" customWidth="1"/>
    <col min="10" max="10" width="10.5703125" style="146" bestFit="1" customWidth="1"/>
    <col min="11" max="11" width="12.85546875" style="116" customWidth="1"/>
    <col min="12" max="12" width="4" style="116" bestFit="1" customWidth="1"/>
    <col min="13" max="13" width="19.28515625" style="116" bestFit="1" customWidth="1"/>
    <col min="14" max="16384" width="3.42578125" style="116"/>
  </cols>
  <sheetData>
    <row r="1" spans="1:15" ht="17.25">
      <c r="A1" s="326" t="str">
        <f>名簿!$A$1</f>
        <v>第9回川本杯はしまモアフェンシング大会</v>
      </c>
      <c r="B1" s="326"/>
      <c r="C1" s="326"/>
      <c r="D1" s="326"/>
      <c r="E1" s="326"/>
      <c r="F1" s="326"/>
      <c r="G1" s="326"/>
      <c r="H1" s="326"/>
      <c r="I1" s="326"/>
      <c r="J1" s="142"/>
      <c r="K1" s="264"/>
      <c r="L1" s="264"/>
      <c r="M1" s="115"/>
      <c r="N1" s="115"/>
      <c r="O1" s="115"/>
    </row>
    <row r="2" spans="1:15">
      <c r="A2" s="327" t="str">
        <f>"　"&amp;名簿!$A$2</f>
        <v>　中学男子</v>
      </c>
      <c r="B2" s="327"/>
      <c r="C2" s="327"/>
      <c r="D2" s="327"/>
      <c r="E2" s="327"/>
      <c r="F2" s="327"/>
      <c r="H2" s="117"/>
      <c r="I2" s="117"/>
      <c r="J2" s="143"/>
      <c r="K2" s="117"/>
      <c r="L2" s="265"/>
      <c r="M2" s="118"/>
      <c r="N2" s="118"/>
      <c r="O2" s="118"/>
    </row>
    <row r="3" spans="1:15">
      <c r="A3" s="328" t="str">
        <f>"　　"&amp;名簿!$A$3</f>
        <v>　　1回戦</v>
      </c>
      <c r="B3" s="328"/>
      <c r="C3" s="328"/>
      <c r="D3" s="328"/>
      <c r="E3" s="328"/>
      <c r="F3" s="328"/>
      <c r="G3" s="329">
        <f>名簿!$E$3</f>
        <v>43184</v>
      </c>
      <c r="H3" s="329"/>
      <c r="I3" s="329"/>
      <c r="J3" s="143"/>
    </row>
    <row r="4" spans="1:15" s="121" customFormat="1" ht="12">
      <c r="A4" s="325" t="s">
        <v>18</v>
      </c>
      <c r="B4" s="325"/>
      <c r="C4" s="325"/>
      <c r="D4" s="119" t="s">
        <v>25</v>
      </c>
      <c r="E4" s="119" t="s">
        <v>26</v>
      </c>
      <c r="F4" s="119" t="s">
        <v>27</v>
      </c>
      <c r="G4" s="120" t="s">
        <v>75</v>
      </c>
      <c r="H4" s="120" t="s">
        <v>77</v>
      </c>
      <c r="I4" s="120" t="s">
        <v>76</v>
      </c>
      <c r="J4" s="144"/>
    </row>
    <row r="5" spans="1:15" s="124" customFormat="1" ht="12">
      <c r="A5" s="120" t="s">
        <v>21</v>
      </c>
      <c r="B5" s="122" t="s">
        <v>19</v>
      </c>
      <c r="C5" s="119" t="s">
        <v>20</v>
      </c>
      <c r="D5" s="119" t="s">
        <v>22</v>
      </c>
      <c r="E5" s="123" t="s">
        <v>28</v>
      </c>
      <c r="F5" s="123" t="s">
        <v>29</v>
      </c>
      <c r="G5" s="120" t="s">
        <v>23</v>
      </c>
      <c r="H5" s="120" t="s">
        <v>24</v>
      </c>
      <c r="I5" s="120" t="s">
        <v>62</v>
      </c>
      <c r="J5" s="144"/>
    </row>
    <row r="6" spans="1:15" s="121" customFormat="1" ht="12">
      <c r="A6" s="133">
        <f>名簿!A5</f>
        <v>1</v>
      </c>
      <c r="B6" s="134" t="str">
        <f>IF(A6="","",VLOOKUP(A6,'予選 Ｐ'!$D$5:$F$100,2,0))</f>
        <v>はしまモア</v>
      </c>
      <c r="C6" s="133" t="str">
        <f>IF(A6="","",VLOOKUP(A6,'予選 Ｐ'!$D$5:$F$100,3,0))</f>
        <v>福田　亮介</v>
      </c>
      <c r="D6" s="135">
        <f>IF(A6="","",VLOOKUP(A6,'予選 Ｐ'!$Y$5:$AE$100,2,0))</f>
        <v>5</v>
      </c>
      <c r="E6" s="135">
        <f>IF(A6="","",VLOOKUP(A6,'予選 Ｐ'!$Y$5:$AE$100,3,0))</f>
        <v>5</v>
      </c>
      <c r="F6" s="135">
        <f>IF(A6="","",VLOOKUP(A6,'予選 Ｐ'!$Y$5:$AE$100,4,0))</f>
        <v>1</v>
      </c>
      <c r="G6" s="135">
        <f>IF(A6="","",VLOOKUP(A6,'予選 Ｐ'!$Y$5:$AE$100,5,0))</f>
        <v>25</v>
      </c>
      <c r="H6" s="135">
        <f>IF(A6="","",VLOOKUP(A6,'予選 Ｐ'!$Y$5:$AE$100,6,0))</f>
        <v>2</v>
      </c>
      <c r="I6" s="135">
        <f>IF(A6="","",VLOOKUP(A6,'予選 Ｐ'!$Y$5:$AE$100,7,0))</f>
        <v>23</v>
      </c>
      <c r="J6" s="147">
        <f>IF(A6="","",VLOOKUP(A6,'予選 Ｐ'!$Y$5:$AH$100,9,0))</f>
        <v>0</v>
      </c>
      <c r="K6" s="121" t="str">
        <f>C6</f>
        <v>福田　亮介</v>
      </c>
      <c r="L6" s="121">
        <f>A6</f>
        <v>1</v>
      </c>
      <c r="M6" s="121" t="str">
        <f>B6</f>
        <v>はしまモア</v>
      </c>
    </row>
    <row r="7" spans="1:15" s="121" customFormat="1" ht="12">
      <c r="A7" s="136">
        <f>名簿!A6</f>
        <v>2</v>
      </c>
      <c r="B7" s="137" t="str">
        <f>IF(A7="","",VLOOKUP(A7,'予選 Ｐ'!$D$5:$F$100,2,0))</f>
        <v>愛工大付属</v>
      </c>
      <c r="C7" s="136" t="str">
        <f>IF(A7="","",VLOOKUP(A7,'予選 Ｐ'!$D$5:$F$100,3,0))</f>
        <v>太田　拓輝</v>
      </c>
      <c r="D7" s="138">
        <f>IF(A7="","",VLOOKUP(A7,'予選 Ｐ'!$Y$5:$AE$100,2,0))</f>
        <v>5</v>
      </c>
      <c r="E7" s="138">
        <f>IF(A7="","",VLOOKUP(A7,'予選 Ｐ'!$Y$5:$AE$100,3,0))</f>
        <v>5</v>
      </c>
      <c r="F7" s="138">
        <f>IF(A7="","",VLOOKUP(A7,'予選 Ｐ'!$Y$5:$AE$100,4,0))</f>
        <v>1</v>
      </c>
      <c r="G7" s="138">
        <f>IF(A7="","",VLOOKUP(A7,'予選 Ｐ'!$Y$5:$AE$100,5,0))</f>
        <v>25</v>
      </c>
      <c r="H7" s="138">
        <f>IF(A7="","",VLOOKUP(A7,'予選 Ｐ'!$Y$5:$AE$100,6,0))</f>
        <v>3</v>
      </c>
      <c r="I7" s="138">
        <f>IF(A7="","",VLOOKUP(A7,'予選 Ｐ'!$Y$5:$AE$100,7,0))</f>
        <v>22</v>
      </c>
      <c r="J7" s="147">
        <f>IF(A7="","",VLOOKUP(A7,'予選 Ｐ'!$Y$5:$AH$100,9,0))</f>
        <v>0</v>
      </c>
      <c r="K7" s="121" t="str">
        <f t="shared" ref="K7:K69" si="0">C7</f>
        <v>太田　拓輝</v>
      </c>
      <c r="L7" s="121">
        <f t="shared" ref="L7:L69" si="1">A7</f>
        <v>2</v>
      </c>
      <c r="M7" s="121" t="str">
        <f t="shared" ref="M7:M69" si="2">B7</f>
        <v>愛工大付属</v>
      </c>
    </row>
    <row r="8" spans="1:15" s="121" customFormat="1" ht="12">
      <c r="A8" s="136">
        <f>名簿!A7</f>
        <v>3</v>
      </c>
      <c r="B8" s="137" t="str">
        <f>IF(A8="","",VLOOKUP(A8,'予選 Ｐ'!$D$5:$F$100,2,0))</f>
        <v>はしまモア</v>
      </c>
      <c r="C8" s="136" t="str">
        <f>IF(A8="","",VLOOKUP(A8,'予選 Ｐ'!$D$5:$F$100,3,0))</f>
        <v>田内　稜大</v>
      </c>
      <c r="D8" s="138">
        <f>IF(A8="","",VLOOKUP(A8,'予選 Ｐ'!$Y$5:$AE$100,2,0))</f>
        <v>5</v>
      </c>
      <c r="E8" s="138">
        <f>IF(A8="","",VLOOKUP(A8,'予選 Ｐ'!$Y$5:$AE$100,3,0))</f>
        <v>5</v>
      </c>
      <c r="F8" s="138">
        <f>IF(A8="","",VLOOKUP(A8,'予選 Ｐ'!$Y$5:$AE$100,4,0))</f>
        <v>1</v>
      </c>
      <c r="G8" s="138">
        <f>IF(A8="","",VLOOKUP(A8,'予選 Ｐ'!$Y$5:$AE$100,5,0))</f>
        <v>25</v>
      </c>
      <c r="H8" s="138">
        <f>IF(A8="","",VLOOKUP(A8,'予選 Ｐ'!$Y$5:$AE$100,6,0))</f>
        <v>5</v>
      </c>
      <c r="I8" s="138">
        <f>IF(A8="","",VLOOKUP(A8,'予選 Ｐ'!$Y$5:$AE$100,7,0))</f>
        <v>20</v>
      </c>
      <c r="J8" s="147">
        <f>IF(A8="","",VLOOKUP(A8,'予選 Ｐ'!$Y$5:$AH$100,9,0))</f>
        <v>0</v>
      </c>
      <c r="K8" s="121" t="str">
        <f t="shared" si="0"/>
        <v>田内　稜大</v>
      </c>
      <c r="L8" s="121">
        <f t="shared" si="1"/>
        <v>3</v>
      </c>
      <c r="M8" s="121" t="str">
        <f t="shared" si="2"/>
        <v>はしまモア</v>
      </c>
    </row>
    <row r="9" spans="1:15" s="121" customFormat="1" ht="12">
      <c r="A9" s="136">
        <f>名簿!A8</f>
        <v>4</v>
      </c>
      <c r="B9" s="137" t="str">
        <f>IF(A9="","",VLOOKUP(A9,'予選 Ｐ'!$D$5:$F$100,2,0))</f>
        <v>ワセダクラブ</v>
      </c>
      <c r="C9" s="136" t="str">
        <f>IF(A9="","",VLOOKUP(A9,'予選 Ｐ'!$D$5:$F$100,3,0))</f>
        <v>鈴木　統吾</v>
      </c>
      <c r="D9" s="138">
        <f>IF(A9="","",VLOOKUP(A9,'予選 Ｐ'!$Y$5:$AE$100,2,0))</f>
        <v>4</v>
      </c>
      <c r="E9" s="138">
        <f>IF(A9="","",VLOOKUP(A9,'予選 Ｐ'!$Y$5:$AE$100,3,0))</f>
        <v>4</v>
      </c>
      <c r="F9" s="138">
        <f>IF(A9="","",VLOOKUP(A9,'予選 Ｐ'!$Y$5:$AE$100,4,0))</f>
        <v>1</v>
      </c>
      <c r="G9" s="138">
        <f>IF(A9="","",VLOOKUP(A9,'予選 Ｐ'!$Y$5:$AE$100,5,0))</f>
        <v>20</v>
      </c>
      <c r="H9" s="138">
        <f>IF(A9="","",VLOOKUP(A9,'予選 Ｐ'!$Y$5:$AE$100,6,0))</f>
        <v>5</v>
      </c>
      <c r="I9" s="138">
        <f>IF(A9="","",VLOOKUP(A9,'予選 Ｐ'!$Y$5:$AE$100,7,0))</f>
        <v>15</v>
      </c>
      <c r="J9" s="147">
        <f>IF(A9="","",VLOOKUP(A9,'予選 Ｐ'!$Y$5:$AH$100,9,0))</f>
        <v>0</v>
      </c>
      <c r="K9" s="121" t="str">
        <f t="shared" si="0"/>
        <v>鈴木　統吾</v>
      </c>
      <c r="L9" s="121">
        <f t="shared" si="1"/>
        <v>4</v>
      </c>
      <c r="M9" s="121" t="str">
        <f t="shared" si="2"/>
        <v>ワセダクラブ</v>
      </c>
    </row>
    <row r="10" spans="1:15" s="121" customFormat="1" ht="12">
      <c r="A10" s="136">
        <f>名簿!A9</f>
        <v>5</v>
      </c>
      <c r="B10" s="137" t="str">
        <f>IF(A10="","",VLOOKUP(A10,'予選 Ｐ'!$D$5:$F$100,2,0))</f>
        <v>大垣クラブ</v>
      </c>
      <c r="C10" s="136" t="str">
        <f>IF(A10="","",VLOOKUP(A10,'予選 Ｐ'!$D$5:$F$100,3,0))</f>
        <v>國枝　契太</v>
      </c>
      <c r="D10" s="138">
        <f>IF(A10="","",VLOOKUP(A10,'予選 Ｐ'!$Y$5:$AE$100,2,0))</f>
        <v>5</v>
      </c>
      <c r="E10" s="138">
        <f>IF(A10="","",VLOOKUP(A10,'予選 Ｐ'!$Y$5:$AE$100,3,0))</f>
        <v>5</v>
      </c>
      <c r="F10" s="138">
        <f>IF(A10="","",VLOOKUP(A10,'予選 Ｐ'!$Y$5:$AE$100,4,0))</f>
        <v>1</v>
      </c>
      <c r="G10" s="138">
        <f>IF(A10="","",VLOOKUP(A10,'予選 Ｐ'!$Y$5:$AE$100,5,0))</f>
        <v>21</v>
      </c>
      <c r="H10" s="138">
        <f>IF(A10="","",VLOOKUP(A10,'予選 Ｐ'!$Y$5:$AE$100,6,0))</f>
        <v>7</v>
      </c>
      <c r="I10" s="138">
        <f>IF(A10="","",VLOOKUP(A10,'予選 Ｐ'!$Y$5:$AE$100,7,0))</f>
        <v>14</v>
      </c>
      <c r="J10" s="147">
        <f>IF(A10="","",VLOOKUP(A10,'予選 Ｐ'!$Y$5:$AH$100,9,0))</f>
        <v>0</v>
      </c>
      <c r="K10" s="121" t="str">
        <f t="shared" si="0"/>
        <v>國枝　契太</v>
      </c>
      <c r="L10" s="121">
        <f t="shared" si="1"/>
        <v>5</v>
      </c>
      <c r="M10" s="121" t="str">
        <f t="shared" si="2"/>
        <v>大垣クラブ</v>
      </c>
    </row>
    <row r="11" spans="1:15" s="121" customFormat="1" ht="12">
      <c r="A11" s="136">
        <f>名簿!A10</f>
        <v>6</v>
      </c>
      <c r="B11" s="137" t="str">
        <f>IF(A11="","",VLOOKUP(A11,'予選 Ｐ'!$D$5:$F$100,2,0))</f>
        <v>はしまモア</v>
      </c>
      <c r="C11" s="136" t="str">
        <f>IF(A11="","",VLOOKUP(A11,'予選 Ｐ'!$D$5:$F$100,3,0))</f>
        <v>河村　一摩</v>
      </c>
      <c r="D11" s="138">
        <f>IF(A11="","",VLOOKUP(A11,'予選 Ｐ'!$Y$5:$AE$100,2,0))</f>
        <v>4</v>
      </c>
      <c r="E11" s="138">
        <f>IF(A11="","",VLOOKUP(A11,'予選 Ｐ'!$Y$5:$AE$100,3,0))</f>
        <v>4</v>
      </c>
      <c r="F11" s="138">
        <f>IF(A11="","",VLOOKUP(A11,'予選 Ｐ'!$Y$5:$AE$100,4,0))</f>
        <v>1</v>
      </c>
      <c r="G11" s="138">
        <f>IF(A11="","",VLOOKUP(A11,'予選 Ｐ'!$Y$5:$AE$100,5,0))</f>
        <v>20</v>
      </c>
      <c r="H11" s="138">
        <f>IF(A11="","",VLOOKUP(A11,'予選 Ｐ'!$Y$5:$AE$100,6,0))</f>
        <v>6</v>
      </c>
      <c r="I11" s="138">
        <f>IF(A11="","",VLOOKUP(A11,'予選 Ｐ'!$Y$5:$AE$100,7,0))</f>
        <v>14</v>
      </c>
      <c r="J11" s="147">
        <f>IF(A11="","",VLOOKUP(A11,'予選 Ｐ'!$Y$5:$AH$100,9,0))</f>
        <v>0</v>
      </c>
      <c r="K11" s="121" t="str">
        <f t="shared" si="0"/>
        <v>河村　一摩</v>
      </c>
      <c r="L11" s="121">
        <f t="shared" si="1"/>
        <v>6</v>
      </c>
      <c r="M11" s="121" t="str">
        <f t="shared" si="2"/>
        <v>はしまモア</v>
      </c>
    </row>
    <row r="12" spans="1:15" s="121" customFormat="1" ht="12">
      <c r="A12" s="136">
        <f>名簿!A11</f>
        <v>7</v>
      </c>
      <c r="B12" s="137" t="str">
        <f>IF(A12="","",VLOOKUP(A12,'予選 Ｐ'!$D$5:$F$100,2,0))</f>
        <v>光が丘フェンシング</v>
      </c>
      <c r="C12" s="136" t="str">
        <f>IF(A12="","",VLOOKUP(A12,'予選 Ｐ'!$D$5:$F$100,3,0))</f>
        <v>黒澤　塁</v>
      </c>
      <c r="D12" s="138">
        <f>IF(A12="","",VLOOKUP(A12,'予選 Ｐ'!$Y$5:$AE$100,2,0))</f>
        <v>4</v>
      </c>
      <c r="E12" s="138">
        <f>IF(A12="","",VLOOKUP(A12,'予選 Ｐ'!$Y$5:$AE$100,3,0))</f>
        <v>4</v>
      </c>
      <c r="F12" s="138">
        <f>IF(A12="","",VLOOKUP(A12,'予選 Ｐ'!$Y$5:$AE$100,4,0))</f>
        <v>1</v>
      </c>
      <c r="G12" s="138">
        <f>IF(A12="","",VLOOKUP(A12,'予選 Ｐ'!$Y$5:$AE$100,5,0))</f>
        <v>20</v>
      </c>
      <c r="H12" s="138">
        <f>IF(A12="","",VLOOKUP(A12,'予選 Ｐ'!$Y$5:$AE$100,6,0))</f>
        <v>6</v>
      </c>
      <c r="I12" s="138">
        <f>IF(A12="","",VLOOKUP(A12,'予選 Ｐ'!$Y$5:$AE$100,7,0))</f>
        <v>14</v>
      </c>
      <c r="J12" s="147">
        <f>IF(A12="","",VLOOKUP(A12,'予選 Ｐ'!$Y$5:$AH$100,9,0))</f>
        <v>0</v>
      </c>
      <c r="K12" s="121" t="str">
        <f t="shared" si="0"/>
        <v>黒澤　塁</v>
      </c>
      <c r="L12" s="121">
        <f t="shared" si="1"/>
        <v>7</v>
      </c>
      <c r="M12" s="121" t="str">
        <f t="shared" si="2"/>
        <v>光が丘フェンシング</v>
      </c>
    </row>
    <row r="13" spans="1:15" s="121" customFormat="1" ht="12">
      <c r="A13" s="136">
        <f>名簿!A12</f>
        <v>8</v>
      </c>
      <c r="B13" s="137" t="str">
        <f>IF(A13="","",VLOOKUP(A13,'予選 Ｐ'!$D$5:$F$100,2,0))</f>
        <v>速星中学校</v>
      </c>
      <c r="C13" s="136" t="str">
        <f>IF(A13="","",VLOOKUP(A13,'予選 Ｐ'!$D$5:$F$100,3,0))</f>
        <v>石川　凌</v>
      </c>
      <c r="D13" s="138">
        <f>IF(A13="","",VLOOKUP(A13,'予選 Ｐ'!$Y$5:$AE$100,2,0))</f>
        <v>4</v>
      </c>
      <c r="E13" s="138">
        <f>IF(A13="","",VLOOKUP(A13,'予選 Ｐ'!$Y$5:$AE$100,3,0))</f>
        <v>4</v>
      </c>
      <c r="F13" s="138">
        <f>IF(A13="","",VLOOKUP(A13,'予選 Ｐ'!$Y$5:$AE$100,4,0))</f>
        <v>1</v>
      </c>
      <c r="G13" s="138">
        <f>IF(A13="","",VLOOKUP(A13,'予選 Ｐ'!$Y$5:$AE$100,5,0))</f>
        <v>20</v>
      </c>
      <c r="H13" s="138">
        <f>IF(A13="","",VLOOKUP(A13,'予選 Ｐ'!$Y$5:$AE$100,6,0))</f>
        <v>7</v>
      </c>
      <c r="I13" s="138">
        <f>IF(A13="","",VLOOKUP(A13,'予選 Ｐ'!$Y$5:$AE$100,7,0))</f>
        <v>13</v>
      </c>
      <c r="J13" s="147">
        <f>IF(A13="","",VLOOKUP(A13,'予選 Ｐ'!$Y$5:$AH$100,9,0))</f>
        <v>0</v>
      </c>
      <c r="K13" s="121" t="str">
        <f t="shared" si="0"/>
        <v>石川　凌</v>
      </c>
      <c r="L13" s="121">
        <f t="shared" si="1"/>
        <v>8</v>
      </c>
      <c r="M13" s="121" t="str">
        <f t="shared" si="2"/>
        <v>速星中学校</v>
      </c>
    </row>
    <row r="14" spans="1:15" s="121" customFormat="1" ht="12">
      <c r="A14" s="136">
        <f>名簿!A13</f>
        <v>9</v>
      </c>
      <c r="B14" s="137" t="str">
        <f>IF(A14="","",VLOOKUP(A14,'予選 Ｐ'!$D$5:$F$100,2,0))</f>
        <v>法政大第二中学</v>
      </c>
      <c r="C14" s="136" t="str">
        <f>IF(A14="","",VLOOKUP(A14,'予選 Ｐ'!$D$5:$F$100,3,0))</f>
        <v>安井　琥珀</v>
      </c>
      <c r="D14" s="138">
        <f>IF(A14="","",VLOOKUP(A14,'予選 Ｐ'!$Y$5:$AE$100,2,0))</f>
        <v>4</v>
      </c>
      <c r="E14" s="138">
        <f>IF(A14="","",VLOOKUP(A14,'予選 Ｐ'!$Y$5:$AE$100,3,0))</f>
        <v>4</v>
      </c>
      <c r="F14" s="138">
        <f>IF(A14="","",VLOOKUP(A14,'予選 Ｐ'!$Y$5:$AE$100,4,0))</f>
        <v>1</v>
      </c>
      <c r="G14" s="138">
        <f>IF(A14="","",VLOOKUP(A14,'予選 Ｐ'!$Y$5:$AE$100,5,0))</f>
        <v>19</v>
      </c>
      <c r="H14" s="138">
        <f>IF(A14="","",VLOOKUP(A14,'予選 Ｐ'!$Y$5:$AE$100,6,0))</f>
        <v>6</v>
      </c>
      <c r="I14" s="138">
        <f>IF(A14="","",VLOOKUP(A14,'予選 Ｐ'!$Y$5:$AE$100,7,0))</f>
        <v>13</v>
      </c>
      <c r="J14" s="147">
        <f>IF(A14="","",VLOOKUP(A14,'予選 Ｐ'!$Y$5:$AH$100,9,0))</f>
        <v>0</v>
      </c>
      <c r="K14" s="121" t="str">
        <f t="shared" si="0"/>
        <v>安井　琥珀</v>
      </c>
      <c r="L14" s="121">
        <f t="shared" si="1"/>
        <v>9</v>
      </c>
      <c r="M14" s="121" t="str">
        <f t="shared" si="2"/>
        <v>法政大第二中学</v>
      </c>
    </row>
    <row r="15" spans="1:15" s="121" customFormat="1" ht="12">
      <c r="A15" s="136">
        <f>名簿!A14</f>
        <v>10</v>
      </c>
      <c r="B15" s="137" t="str">
        <f>IF(A15="","",VLOOKUP(A15,'予選 Ｐ'!$D$5:$F$100,2,0))</f>
        <v>河南町フェンシング</v>
      </c>
      <c r="C15" s="136" t="str">
        <f>IF(A15="","",VLOOKUP(A15,'予選 Ｐ'!$D$5:$F$100,3,0))</f>
        <v>菊元　雪</v>
      </c>
      <c r="D15" s="138">
        <f>IF(A15="","",VLOOKUP(A15,'予選 Ｐ'!$Y$5:$AE$100,2,0))</f>
        <v>5</v>
      </c>
      <c r="E15" s="138">
        <f>IF(A15="","",VLOOKUP(A15,'予選 Ｐ'!$Y$5:$AE$100,3,0))</f>
        <v>4</v>
      </c>
      <c r="F15" s="138">
        <f>IF(A15="","",VLOOKUP(A15,'予選 Ｐ'!$Y$5:$AE$100,4,0))</f>
        <v>0.8</v>
      </c>
      <c r="G15" s="138">
        <f>IF(A15="","",VLOOKUP(A15,'予選 Ｐ'!$Y$5:$AE$100,5,0))</f>
        <v>21</v>
      </c>
      <c r="H15" s="138">
        <f>IF(A15="","",VLOOKUP(A15,'予選 Ｐ'!$Y$5:$AE$100,6,0))</f>
        <v>12</v>
      </c>
      <c r="I15" s="138">
        <f>IF(A15="","",VLOOKUP(A15,'予選 Ｐ'!$Y$5:$AE$100,7,0))</f>
        <v>9</v>
      </c>
      <c r="J15" s="147">
        <f>IF(A15="","",VLOOKUP(A15,'予選 Ｐ'!$Y$5:$AH$100,9,0))</f>
        <v>0</v>
      </c>
      <c r="K15" s="121" t="str">
        <f t="shared" si="0"/>
        <v>菊元　雪</v>
      </c>
      <c r="L15" s="121">
        <f t="shared" si="1"/>
        <v>10</v>
      </c>
      <c r="M15" s="121" t="str">
        <f t="shared" si="2"/>
        <v>河南町フェンシング</v>
      </c>
    </row>
    <row r="16" spans="1:15" s="121" customFormat="1" ht="12">
      <c r="A16" s="136">
        <f>名簿!A15</f>
        <v>11</v>
      </c>
      <c r="B16" s="137" t="str">
        <f>IF(A16="","",VLOOKUP(A16,'予選 Ｐ'!$D$5:$F$100,2,0))</f>
        <v>杉並ジュニア</v>
      </c>
      <c r="C16" s="136" t="str">
        <f>IF(A16="","",VLOOKUP(A16,'予選 Ｐ'!$D$5:$F$100,3,0))</f>
        <v>山﨑　貴史</v>
      </c>
      <c r="D16" s="138">
        <f>IF(A16="","",VLOOKUP(A16,'予選 Ｐ'!$Y$5:$AE$100,2,0))</f>
        <v>5</v>
      </c>
      <c r="E16" s="138">
        <f>IF(A16="","",VLOOKUP(A16,'予選 Ｐ'!$Y$5:$AE$100,3,0))</f>
        <v>4</v>
      </c>
      <c r="F16" s="138">
        <f>IF(A16="","",VLOOKUP(A16,'予選 Ｐ'!$Y$5:$AE$100,4,0))</f>
        <v>0.8</v>
      </c>
      <c r="G16" s="138">
        <f>IF(A16="","",VLOOKUP(A16,'予選 Ｐ'!$Y$5:$AE$100,5,0))</f>
        <v>18</v>
      </c>
      <c r="H16" s="138">
        <f>IF(A16="","",VLOOKUP(A16,'予選 Ｐ'!$Y$5:$AE$100,6,0))</f>
        <v>10</v>
      </c>
      <c r="I16" s="138">
        <f>IF(A16="","",VLOOKUP(A16,'予選 Ｐ'!$Y$5:$AE$100,7,0))</f>
        <v>8</v>
      </c>
      <c r="J16" s="147">
        <f>IF(A16="","",VLOOKUP(A16,'予選 Ｐ'!$Y$5:$AH$100,9,0))</f>
        <v>0</v>
      </c>
      <c r="K16" s="121" t="str">
        <f t="shared" si="0"/>
        <v>山﨑　貴史</v>
      </c>
      <c r="L16" s="121">
        <f t="shared" si="1"/>
        <v>11</v>
      </c>
      <c r="M16" s="121" t="str">
        <f t="shared" si="2"/>
        <v>杉並ジュニア</v>
      </c>
    </row>
    <row r="17" spans="1:13" s="121" customFormat="1" ht="12">
      <c r="A17" s="136">
        <f>名簿!A16</f>
        <v>12</v>
      </c>
      <c r="B17" s="137" t="str">
        <f>IF(A17="","",VLOOKUP(A17,'予選 Ｐ'!$D$5:$F$100,2,0))</f>
        <v>南箕輪わくわく</v>
      </c>
      <c r="C17" s="136" t="str">
        <f>IF(A17="","",VLOOKUP(A17,'予選 Ｐ'!$D$5:$F$100,3,0))</f>
        <v>保科　幸作</v>
      </c>
      <c r="D17" s="138">
        <f>IF(A17="","",VLOOKUP(A17,'予選 Ｐ'!$Y$5:$AE$100,2,0))</f>
        <v>5</v>
      </c>
      <c r="E17" s="138">
        <f>IF(A17="","",VLOOKUP(A17,'予選 Ｐ'!$Y$5:$AE$100,3,0))</f>
        <v>4</v>
      </c>
      <c r="F17" s="138">
        <f>IF(A17="","",VLOOKUP(A17,'予選 Ｐ'!$Y$5:$AE$100,4,0))</f>
        <v>0.8</v>
      </c>
      <c r="G17" s="138">
        <f>IF(A17="","",VLOOKUP(A17,'予選 Ｐ'!$Y$5:$AE$100,5,0))</f>
        <v>20</v>
      </c>
      <c r="H17" s="138">
        <f>IF(A17="","",VLOOKUP(A17,'予選 Ｐ'!$Y$5:$AE$100,6,0))</f>
        <v>17</v>
      </c>
      <c r="I17" s="138">
        <f>IF(A17="","",VLOOKUP(A17,'予選 Ｐ'!$Y$5:$AE$100,7,0))</f>
        <v>3</v>
      </c>
      <c r="J17" s="147">
        <f>IF(A17="","",VLOOKUP(A17,'予選 Ｐ'!$Y$5:$AH$100,9,0))</f>
        <v>0</v>
      </c>
      <c r="K17" s="121" t="str">
        <f t="shared" si="0"/>
        <v>保科　幸作</v>
      </c>
      <c r="L17" s="121">
        <f t="shared" si="1"/>
        <v>12</v>
      </c>
      <c r="M17" s="121" t="str">
        <f t="shared" si="2"/>
        <v>南箕輪わくわく</v>
      </c>
    </row>
    <row r="18" spans="1:13" s="121" customFormat="1" ht="12">
      <c r="A18" s="136">
        <f>名簿!A17</f>
        <v>13</v>
      </c>
      <c r="B18" s="137" t="str">
        <f>IF(A18="","",VLOOKUP(A18,'予選 Ｐ'!$D$5:$F$100,2,0))</f>
        <v>はしまモア</v>
      </c>
      <c r="C18" s="136" t="str">
        <f>IF(A18="","",VLOOKUP(A18,'予選 Ｐ'!$D$5:$F$100,3,0))</f>
        <v>奥田　玲大</v>
      </c>
      <c r="D18" s="138">
        <f>IF(A18="","",VLOOKUP(A18,'予選 Ｐ'!$Y$5:$AE$100,2,0))</f>
        <v>4</v>
      </c>
      <c r="E18" s="138">
        <f>IF(A18="","",VLOOKUP(A18,'予選 Ｐ'!$Y$5:$AE$100,3,0))</f>
        <v>3</v>
      </c>
      <c r="F18" s="138">
        <f>IF(A18="","",VLOOKUP(A18,'予選 Ｐ'!$Y$5:$AE$100,4,0))</f>
        <v>0.75</v>
      </c>
      <c r="G18" s="138">
        <f>IF(A18="","",VLOOKUP(A18,'予選 Ｐ'!$Y$5:$AE$100,5,0))</f>
        <v>18</v>
      </c>
      <c r="H18" s="138">
        <f>IF(A18="","",VLOOKUP(A18,'予選 Ｐ'!$Y$5:$AE$100,6,0))</f>
        <v>8</v>
      </c>
      <c r="I18" s="138">
        <f>IF(A18="","",VLOOKUP(A18,'予選 Ｐ'!$Y$5:$AE$100,7,0))</f>
        <v>10</v>
      </c>
      <c r="J18" s="147">
        <f>IF(A18="","",VLOOKUP(A18,'予選 Ｐ'!$Y$5:$AH$100,9,0))</f>
        <v>0</v>
      </c>
      <c r="K18" s="121" t="str">
        <f t="shared" si="0"/>
        <v>奥田　玲大</v>
      </c>
      <c r="L18" s="121">
        <f t="shared" si="1"/>
        <v>13</v>
      </c>
      <c r="M18" s="121" t="str">
        <f t="shared" si="2"/>
        <v>はしまモア</v>
      </c>
    </row>
    <row r="19" spans="1:13" s="121" customFormat="1" ht="12">
      <c r="A19" s="136">
        <f>名簿!A18</f>
        <v>14</v>
      </c>
      <c r="B19" s="137" t="str">
        <f>IF(A19="","",VLOOKUP(A19,'予選 Ｐ'!$D$5:$F$100,2,0))</f>
        <v>長野ジュニア</v>
      </c>
      <c r="C19" s="136" t="str">
        <f>IF(A19="","",VLOOKUP(A19,'予選 Ｐ'!$D$5:$F$100,3,0))</f>
        <v>杉岡　瑞基</v>
      </c>
      <c r="D19" s="138">
        <f>IF(A19="","",VLOOKUP(A19,'予選 Ｐ'!$Y$5:$AE$100,2,0))</f>
        <v>4</v>
      </c>
      <c r="E19" s="138">
        <f>IF(A19="","",VLOOKUP(A19,'予選 Ｐ'!$Y$5:$AE$100,3,0))</f>
        <v>3</v>
      </c>
      <c r="F19" s="138">
        <f>IF(A19="","",VLOOKUP(A19,'予選 Ｐ'!$Y$5:$AE$100,4,0))</f>
        <v>0.75</v>
      </c>
      <c r="G19" s="138">
        <f>IF(A19="","",VLOOKUP(A19,'予選 Ｐ'!$Y$5:$AE$100,5,0))</f>
        <v>18</v>
      </c>
      <c r="H19" s="138">
        <f>IF(A19="","",VLOOKUP(A19,'予選 Ｐ'!$Y$5:$AE$100,6,0))</f>
        <v>8</v>
      </c>
      <c r="I19" s="138">
        <f>IF(A19="","",VLOOKUP(A19,'予選 Ｐ'!$Y$5:$AE$100,7,0))</f>
        <v>10</v>
      </c>
      <c r="J19" s="147">
        <f>IF(A19="","",VLOOKUP(A19,'予選 Ｐ'!$Y$5:$AH$100,9,0))</f>
        <v>0</v>
      </c>
      <c r="K19" s="121" t="str">
        <f t="shared" si="0"/>
        <v>杉岡　瑞基</v>
      </c>
      <c r="L19" s="121">
        <f t="shared" si="1"/>
        <v>14</v>
      </c>
      <c r="M19" s="121" t="str">
        <f t="shared" si="2"/>
        <v>長野ジュニア</v>
      </c>
    </row>
    <row r="20" spans="1:13" s="121" customFormat="1" ht="12">
      <c r="A20" s="136">
        <f>名簿!A19</f>
        <v>15</v>
      </c>
      <c r="B20" s="137" t="str">
        <f>IF(A20="","",VLOOKUP(A20,'予選 Ｐ'!$D$5:$F$100,2,0))</f>
        <v>箕輪中学校</v>
      </c>
      <c r="C20" s="136" t="str">
        <f>IF(A20="","",VLOOKUP(A20,'予選 Ｐ'!$D$5:$F$100,3,0))</f>
        <v>中村　駿太</v>
      </c>
      <c r="D20" s="138">
        <f>IF(A20="","",VLOOKUP(A20,'予選 Ｐ'!$Y$5:$AE$100,2,0))</f>
        <v>4</v>
      </c>
      <c r="E20" s="138">
        <f>IF(A20="","",VLOOKUP(A20,'予選 Ｐ'!$Y$5:$AE$100,3,0))</f>
        <v>3</v>
      </c>
      <c r="F20" s="138">
        <f>IF(A20="","",VLOOKUP(A20,'予選 Ｐ'!$Y$5:$AE$100,4,0))</f>
        <v>0.75</v>
      </c>
      <c r="G20" s="138">
        <f>IF(A20="","",VLOOKUP(A20,'予選 Ｐ'!$Y$5:$AE$100,5,0))</f>
        <v>16</v>
      </c>
      <c r="H20" s="138">
        <f>IF(A20="","",VLOOKUP(A20,'予選 Ｐ'!$Y$5:$AE$100,6,0))</f>
        <v>7</v>
      </c>
      <c r="I20" s="138">
        <f>IF(A20="","",VLOOKUP(A20,'予選 Ｐ'!$Y$5:$AE$100,7,0))</f>
        <v>9</v>
      </c>
      <c r="J20" s="147">
        <f>IF(A20="","",VLOOKUP(A20,'予選 Ｐ'!$Y$5:$AH$100,9,0))</f>
        <v>0</v>
      </c>
      <c r="K20" s="121" t="str">
        <f t="shared" si="0"/>
        <v>中村　駿太</v>
      </c>
      <c r="L20" s="121">
        <f t="shared" si="1"/>
        <v>15</v>
      </c>
      <c r="M20" s="121" t="str">
        <f t="shared" si="2"/>
        <v>箕輪中学校</v>
      </c>
    </row>
    <row r="21" spans="1:13" s="121" customFormat="1" ht="12">
      <c r="A21" s="136">
        <f>名簿!A20</f>
        <v>16</v>
      </c>
      <c r="B21" s="137" t="str">
        <f>IF(A21="","",VLOOKUP(A21,'予選 Ｐ'!$D$5:$F$100,2,0))</f>
        <v>愛工大付属</v>
      </c>
      <c r="C21" s="136" t="str">
        <f>IF(A21="","",VLOOKUP(A21,'予選 Ｐ'!$D$5:$F$100,3,0))</f>
        <v>伊藤　真吾</v>
      </c>
      <c r="D21" s="138">
        <f>IF(A21="","",VLOOKUP(A21,'予選 Ｐ'!$Y$5:$AE$100,2,0))</f>
        <v>4</v>
      </c>
      <c r="E21" s="138">
        <f>IF(A21="","",VLOOKUP(A21,'予選 Ｐ'!$Y$5:$AE$100,3,0))</f>
        <v>3</v>
      </c>
      <c r="F21" s="138">
        <f>IF(A21="","",VLOOKUP(A21,'予選 Ｐ'!$Y$5:$AE$100,4,0))</f>
        <v>0.75</v>
      </c>
      <c r="G21" s="138">
        <f>IF(A21="","",VLOOKUP(A21,'予選 Ｐ'!$Y$5:$AE$100,5,0))</f>
        <v>18</v>
      </c>
      <c r="H21" s="138">
        <f>IF(A21="","",VLOOKUP(A21,'予選 Ｐ'!$Y$5:$AE$100,6,0))</f>
        <v>11</v>
      </c>
      <c r="I21" s="138">
        <f>IF(A21="","",VLOOKUP(A21,'予選 Ｐ'!$Y$5:$AE$100,7,0))</f>
        <v>7</v>
      </c>
      <c r="J21" s="147">
        <f>IF(A21="","",VLOOKUP(A21,'予選 Ｐ'!$Y$5:$AH$100,9,0))</f>
        <v>0</v>
      </c>
      <c r="K21" s="121" t="str">
        <f t="shared" si="0"/>
        <v>伊藤　真吾</v>
      </c>
      <c r="L21" s="121">
        <f t="shared" si="1"/>
        <v>16</v>
      </c>
      <c r="M21" s="121" t="str">
        <f t="shared" si="2"/>
        <v>愛工大付属</v>
      </c>
    </row>
    <row r="22" spans="1:13" s="121" customFormat="1" ht="12">
      <c r="A22" s="136">
        <f>名簿!A21</f>
        <v>17</v>
      </c>
      <c r="B22" s="137" t="str">
        <f>IF(A22="","",VLOOKUP(A22,'予選 Ｐ'!$D$5:$F$100,2,0))</f>
        <v>はしまモア</v>
      </c>
      <c r="C22" s="136" t="str">
        <f>IF(A22="","",VLOOKUP(A22,'予選 Ｐ'!$D$5:$F$100,3,0))</f>
        <v>石橋　廉大</v>
      </c>
      <c r="D22" s="138">
        <f>IF(A22="","",VLOOKUP(A22,'予選 Ｐ'!$Y$5:$AE$100,2,0))</f>
        <v>4</v>
      </c>
      <c r="E22" s="138">
        <f>IF(A22="","",VLOOKUP(A22,'予選 Ｐ'!$Y$5:$AE$100,3,0))</f>
        <v>3</v>
      </c>
      <c r="F22" s="138">
        <f>IF(A22="","",VLOOKUP(A22,'予選 Ｐ'!$Y$5:$AE$100,4,0))</f>
        <v>0.75</v>
      </c>
      <c r="G22" s="138">
        <f>IF(A22="","",VLOOKUP(A22,'予選 Ｐ'!$Y$5:$AE$100,5,0))</f>
        <v>17</v>
      </c>
      <c r="H22" s="138">
        <f>IF(A22="","",VLOOKUP(A22,'予選 Ｐ'!$Y$5:$AE$100,6,0))</f>
        <v>11</v>
      </c>
      <c r="I22" s="138">
        <f>IF(A22="","",VLOOKUP(A22,'予選 Ｐ'!$Y$5:$AE$100,7,0))</f>
        <v>6</v>
      </c>
      <c r="J22" s="147">
        <f>IF(A22="","",VLOOKUP(A22,'予選 Ｐ'!$Y$5:$AH$100,9,0))</f>
        <v>0</v>
      </c>
      <c r="K22" s="121" t="str">
        <f t="shared" si="0"/>
        <v>石橋　廉大</v>
      </c>
      <c r="L22" s="121">
        <f t="shared" si="1"/>
        <v>17</v>
      </c>
      <c r="M22" s="121" t="str">
        <f t="shared" si="2"/>
        <v>はしまモア</v>
      </c>
    </row>
    <row r="23" spans="1:13" s="121" customFormat="1" ht="12">
      <c r="A23" s="136">
        <f>名簿!A22</f>
        <v>18</v>
      </c>
      <c r="B23" s="137" t="str">
        <f>IF(A23="","",VLOOKUP(A23,'予選 Ｐ'!$D$5:$F$100,2,0))</f>
        <v>ワセダクラブ</v>
      </c>
      <c r="C23" s="136" t="str">
        <f>IF(A23="","",VLOOKUP(A23,'予選 Ｐ'!$D$5:$F$100,3,0))</f>
        <v>林　祥太郎</v>
      </c>
      <c r="D23" s="138">
        <f>IF(A23="","",VLOOKUP(A23,'予選 Ｐ'!$Y$5:$AE$100,2,0))</f>
        <v>5</v>
      </c>
      <c r="E23" s="138">
        <f>IF(A23="","",VLOOKUP(A23,'予選 Ｐ'!$Y$5:$AE$100,3,0))</f>
        <v>3</v>
      </c>
      <c r="F23" s="138">
        <f>IF(A23="","",VLOOKUP(A23,'予選 Ｐ'!$Y$5:$AE$100,4,0))</f>
        <v>0.6</v>
      </c>
      <c r="G23" s="138">
        <f>IF(A23="","",VLOOKUP(A23,'予選 Ｐ'!$Y$5:$AE$100,5,0))</f>
        <v>20</v>
      </c>
      <c r="H23" s="138">
        <f>IF(A23="","",VLOOKUP(A23,'予選 Ｐ'!$Y$5:$AE$100,6,0))</f>
        <v>12</v>
      </c>
      <c r="I23" s="138">
        <f>IF(A23="","",VLOOKUP(A23,'予選 Ｐ'!$Y$5:$AE$100,7,0))</f>
        <v>8</v>
      </c>
      <c r="J23" s="147">
        <f>IF(A23="","",VLOOKUP(A23,'予選 Ｐ'!$Y$5:$AH$100,9,0))</f>
        <v>0</v>
      </c>
      <c r="K23" s="121" t="str">
        <f t="shared" si="0"/>
        <v>林　祥太郎</v>
      </c>
      <c r="L23" s="121">
        <f t="shared" si="1"/>
        <v>18</v>
      </c>
      <c r="M23" s="121" t="str">
        <f t="shared" si="2"/>
        <v>ワセダクラブ</v>
      </c>
    </row>
    <row r="24" spans="1:13" s="121" customFormat="1" ht="12">
      <c r="A24" s="136">
        <f>名簿!A23</f>
        <v>19</v>
      </c>
      <c r="B24" s="137" t="str">
        <f>IF(A24="","",VLOOKUP(A24,'予選 Ｐ'!$D$5:$F$100,2,0))</f>
        <v>横浜フェンサーズ</v>
      </c>
      <c r="C24" s="136" t="str">
        <f>IF(A24="","",VLOOKUP(A24,'予選 Ｐ'!$D$5:$F$100,3,0))</f>
        <v>柳原　健二郎</v>
      </c>
      <c r="D24" s="138">
        <f>IF(A24="","",VLOOKUP(A24,'予選 Ｐ'!$Y$5:$AE$100,2,0))</f>
        <v>5</v>
      </c>
      <c r="E24" s="138">
        <f>IF(A24="","",VLOOKUP(A24,'予選 Ｐ'!$Y$5:$AE$100,3,0))</f>
        <v>3</v>
      </c>
      <c r="F24" s="138">
        <f>IF(A24="","",VLOOKUP(A24,'予選 Ｐ'!$Y$5:$AE$100,4,0))</f>
        <v>0.6</v>
      </c>
      <c r="G24" s="138">
        <f>IF(A24="","",VLOOKUP(A24,'予選 Ｐ'!$Y$5:$AE$100,5,0))</f>
        <v>19</v>
      </c>
      <c r="H24" s="138">
        <f>IF(A24="","",VLOOKUP(A24,'予選 Ｐ'!$Y$5:$AE$100,6,0))</f>
        <v>13</v>
      </c>
      <c r="I24" s="138">
        <f>IF(A24="","",VLOOKUP(A24,'予選 Ｐ'!$Y$5:$AE$100,7,0))</f>
        <v>6</v>
      </c>
      <c r="J24" s="147">
        <f>IF(A24="","",VLOOKUP(A24,'予選 Ｐ'!$Y$5:$AH$100,9,0))</f>
        <v>0</v>
      </c>
      <c r="K24" s="121" t="str">
        <f t="shared" si="0"/>
        <v>柳原　健二郎</v>
      </c>
      <c r="L24" s="121">
        <f t="shared" si="1"/>
        <v>19</v>
      </c>
      <c r="M24" s="121" t="str">
        <f t="shared" si="2"/>
        <v>横浜フェンサーズ</v>
      </c>
    </row>
    <row r="25" spans="1:13" s="121" customFormat="1" ht="12">
      <c r="A25" s="136">
        <f>名簿!A24</f>
        <v>20</v>
      </c>
      <c r="B25" s="137" t="str">
        <f>IF(A25="","",VLOOKUP(A25,'予選 Ｐ'!$D$5:$F$100,2,0))</f>
        <v>アレ　フェンシング</v>
      </c>
      <c r="C25" s="136" t="str">
        <f>IF(A25="","",VLOOKUP(A25,'予選 Ｐ'!$D$5:$F$100,3,0))</f>
        <v>古市　直大</v>
      </c>
      <c r="D25" s="138">
        <f>IF(A25="","",VLOOKUP(A25,'予選 Ｐ'!$Y$5:$AE$100,2,0))</f>
        <v>5</v>
      </c>
      <c r="E25" s="138">
        <f>IF(A25="","",VLOOKUP(A25,'予選 Ｐ'!$Y$5:$AE$100,3,0))</f>
        <v>3</v>
      </c>
      <c r="F25" s="138">
        <f>IF(A25="","",VLOOKUP(A25,'予選 Ｐ'!$Y$5:$AE$100,4,0))</f>
        <v>0.6</v>
      </c>
      <c r="G25" s="138">
        <f>IF(A25="","",VLOOKUP(A25,'予選 Ｐ'!$Y$5:$AE$100,5,0))</f>
        <v>15</v>
      </c>
      <c r="H25" s="138">
        <f>IF(A25="","",VLOOKUP(A25,'予選 Ｐ'!$Y$5:$AE$100,6,0))</f>
        <v>14</v>
      </c>
      <c r="I25" s="138">
        <f>IF(A25="","",VLOOKUP(A25,'予選 Ｐ'!$Y$5:$AE$100,7,0))</f>
        <v>1</v>
      </c>
      <c r="J25" s="147">
        <f>IF(A25="","",VLOOKUP(A25,'予選 Ｐ'!$Y$5:$AH$100,9,0))</f>
        <v>0</v>
      </c>
      <c r="K25" s="121" t="str">
        <f t="shared" si="0"/>
        <v>古市　直大</v>
      </c>
      <c r="L25" s="121">
        <f t="shared" si="1"/>
        <v>20</v>
      </c>
      <c r="M25" s="121" t="str">
        <f t="shared" si="2"/>
        <v>アレ　フェンシング</v>
      </c>
    </row>
    <row r="26" spans="1:13" s="121" customFormat="1" ht="12">
      <c r="A26" s="136">
        <f>名簿!A25</f>
        <v>21</v>
      </c>
      <c r="B26" s="137" t="str">
        <f>IF(A26="","",VLOOKUP(A26,'予選 Ｐ'!$D$5:$F$100,2,0))</f>
        <v>滋賀ＪＦＣ</v>
      </c>
      <c r="C26" s="136" t="str">
        <f>IF(A26="","",VLOOKUP(A26,'予選 Ｐ'!$D$5:$F$100,3,0))</f>
        <v>保知　純乃介</v>
      </c>
      <c r="D26" s="138">
        <f>IF(A26="","",VLOOKUP(A26,'予選 Ｐ'!$Y$5:$AE$100,2,0))</f>
        <v>5</v>
      </c>
      <c r="E26" s="138">
        <f>IF(A26="","",VLOOKUP(A26,'予選 Ｐ'!$Y$5:$AE$100,3,0))</f>
        <v>3</v>
      </c>
      <c r="F26" s="138">
        <f>IF(A26="","",VLOOKUP(A26,'予選 Ｐ'!$Y$5:$AE$100,4,0))</f>
        <v>0.6</v>
      </c>
      <c r="G26" s="138">
        <f>IF(A26="","",VLOOKUP(A26,'予選 Ｐ'!$Y$5:$AE$100,5,0))</f>
        <v>15</v>
      </c>
      <c r="H26" s="138">
        <f>IF(A26="","",VLOOKUP(A26,'予選 Ｐ'!$Y$5:$AE$100,6,0))</f>
        <v>15</v>
      </c>
      <c r="I26" s="138">
        <f>IF(A26="","",VLOOKUP(A26,'予選 Ｐ'!$Y$5:$AE$100,7,0))</f>
        <v>0</v>
      </c>
      <c r="J26" s="147">
        <f>IF(A26="","",VLOOKUP(A26,'予選 Ｐ'!$Y$5:$AH$100,9,0))</f>
        <v>0</v>
      </c>
      <c r="K26" s="121" t="str">
        <f t="shared" si="0"/>
        <v>保知　純乃介</v>
      </c>
      <c r="L26" s="121">
        <f t="shared" si="1"/>
        <v>21</v>
      </c>
      <c r="M26" s="121" t="str">
        <f t="shared" si="2"/>
        <v>滋賀ＪＦＣ</v>
      </c>
    </row>
    <row r="27" spans="1:13" s="121" customFormat="1" ht="12">
      <c r="A27" s="136">
        <f>名簿!A26</f>
        <v>22</v>
      </c>
      <c r="B27" s="137" t="str">
        <f>IF(A27="","",VLOOKUP(A27,'予選 Ｐ'!$D$5:$F$100,2,0))</f>
        <v>箕輪中学校</v>
      </c>
      <c r="C27" s="136" t="str">
        <f>IF(A27="","",VLOOKUP(A27,'予選 Ｐ'!$D$5:$F$100,3,0))</f>
        <v>中村　健人</v>
      </c>
      <c r="D27" s="138">
        <f>IF(A27="","",VLOOKUP(A27,'予選 Ｐ'!$Y$5:$AE$100,2,0))</f>
        <v>5</v>
      </c>
      <c r="E27" s="138">
        <f>IF(A27="","",VLOOKUP(A27,'予選 Ｐ'!$Y$5:$AE$100,3,0))</f>
        <v>3</v>
      </c>
      <c r="F27" s="138">
        <f>IF(A27="","",VLOOKUP(A27,'予選 Ｐ'!$Y$5:$AE$100,4,0))</f>
        <v>0.6</v>
      </c>
      <c r="G27" s="138">
        <f>IF(A27="","",VLOOKUP(A27,'予選 Ｐ'!$Y$5:$AE$100,5,0))</f>
        <v>17</v>
      </c>
      <c r="H27" s="138">
        <f>IF(A27="","",VLOOKUP(A27,'予選 Ｐ'!$Y$5:$AE$100,6,0))</f>
        <v>18</v>
      </c>
      <c r="I27" s="138">
        <f>IF(A27="","",VLOOKUP(A27,'予選 Ｐ'!$Y$5:$AE$100,7,0))</f>
        <v>-1</v>
      </c>
      <c r="J27" s="147">
        <f>IF(A27="","",VLOOKUP(A27,'予選 Ｐ'!$Y$5:$AH$100,9,0))</f>
        <v>0</v>
      </c>
      <c r="K27" s="121" t="str">
        <f t="shared" si="0"/>
        <v>中村　健人</v>
      </c>
      <c r="L27" s="121">
        <f t="shared" si="1"/>
        <v>22</v>
      </c>
      <c r="M27" s="121" t="str">
        <f t="shared" si="2"/>
        <v>箕輪中学校</v>
      </c>
    </row>
    <row r="28" spans="1:13" s="121" customFormat="1" ht="12">
      <c r="A28" s="136">
        <f>名簿!A27</f>
        <v>23</v>
      </c>
      <c r="B28" s="137" t="str">
        <f>IF(A28="","",VLOOKUP(A28,'予選 Ｐ'!$D$5:$F$100,2,0))</f>
        <v>婦中ＪＦＣ</v>
      </c>
      <c r="C28" s="136" t="str">
        <f>IF(A28="","",VLOOKUP(A28,'予選 Ｐ'!$D$5:$F$100,3,0))</f>
        <v>横山　慶汰</v>
      </c>
      <c r="D28" s="138">
        <f>IF(A28="","",VLOOKUP(A28,'予選 Ｐ'!$Y$5:$AE$100,2,0))</f>
        <v>4</v>
      </c>
      <c r="E28" s="138">
        <f>IF(A28="","",VLOOKUP(A28,'予選 Ｐ'!$Y$5:$AE$100,3,0))</f>
        <v>2</v>
      </c>
      <c r="F28" s="138">
        <f>IF(A28="","",VLOOKUP(A28,'予選 Ｐ'!$Y$5:$AE$100,4,0))</f>
        <v>0.5</v>
      </c>
      <c r="G28" s="138">
        <f>IF(A28="","",VLOOKUP(A28,'予選 Ｐ'!$Y$5:$AE$100,5,0))</f>
        <v>14</v>
      </c>
      <c r="H28" s="138">
        <f>IF(A28="","",VLOOKUP(A28,'予選 Ｐ'!$Y$5:$AE$100,6,0))</f>
        <v>11</v>
      </c>
      <c r="I28" s="138">
        <f>IF(A28="","",VLOOKUP(A28,'予選 Ｐ'!$Y$5:$AE$100,7,0))</f>
        <v>3</v>
      </c>
      <c r="J28" s="147">
        <f>IF(A28="","",VLOOKUP(A28,'予選 Ｐ'!$Y$5:$AH$100,9,0))</f>
        <v>0</v>
      </c>
      <c r="K28" s="121" t="str">
        <f t="shared" si="0"/>
        <v>横山　慶汰</v>
      </c>
      <c r="L28" s="121">
        <f t="shared" si="1"/>
        <v>23</v>
      </c>
      <c r="M28" s="121" t="str">
        <f t="shared" si="2"/>
        <v>婦中ＪＦＣ</v>
      </c>
    </row>
    <row r="29" spans="1:13" s="121" customFormat="1" ht="12">
      <c r="A29" s="136">
        <f>名簿!A28</f>
        <v>24</v>
      </c>
      <c r="B29" s="137" t="str">
        <f>IF(A29="","",VLOOKUP(A29,'予選 Ｐ'!$D$5:$F$100,2,0))</f>
        <v>富山パレス</v>
      </c>
      <c r="C29" s="136" t="str">
        <f>IF(A29="","",VLOOKUP(A29,'予選 Ｐ'!$D$5:$F$100,3,0))</f>
        <v>高畠　龍斗</v>
      </c>
      <c r="D29" s="138">
        <f>IF(A29="","",VLOOKUP(A29,'予選 Ｐ'!$Y$5:$AE$100,2,0))</f>
        <v>4</v>
      </c>
      <c r="E29" s="138">
        <f>IF(A29="","",VLOOKUP(A29,'予選 Ｐ'!$Y$5:$AE$100,3,0))</f>
        <v>2</v>
      </c>
      <c r="F29" s="138">
        <f>IF(A29="","",VLOOKUP(A29,'予選 Ｐ'!$Y$5:$AE$100,4,0))</f>
        <v>0.5</v>
      </c>
      <c r="G29" s="138">
        <f>IF(A29="","",VLOOKUP(A29,'予選 Ｐ'!$Y$5:$AE$100,5,0))</f>
        <v>14</v>
      </c>
      <c r="H29" s="138">
        <f>IF(A29="","",VLOOKUP(A29,'予選 Ｐ'!$Y$5:$AE$100,6,0))</f>
        <v>11</v>
      </c>
      <c r="I29" s="138">
        <f>IF(A29="","",VLOOKUP(A29,'予選 Ｐ'!$Y$5:$AE$100,7,0))</f>
        <v>3</v>
      </c>
      <c r="J29" s="147">
        <f>IF(A29="","",VLOOKUP(A29,'予選 Ｐ'!$Y$5:$AH$100,9,0))</f>
        <v>0</v>
      </c>
      <c r="K29" s="121" t="str">
        <f t="shared" si="0"/>
        <v>高畠　龍斗</v>
      </c>
      <c r="L29" s="121">
        <f t="shared" si="1"/>
        <v>24</v>
      </c>
      <c r="M29" s="121" t="str">
        <f t="shared" si="2"/>
        <v>富山パレス</v>
      </c>
    </row>
    <row r="30" spans="1:13" s="121" customFormat="1" ht="12">
      <c r="A30" s="136">
        <f>名簿!A29</f>
        <v>25</v>
      </c>
      <c r="B30" s="137" t="str">
        <f>IF(A30="","",VLOOKUP(A30,'予選 Ｐ'!$D$5:$F$100,2,0))</f>
        <v>愛工大付属</v>
      </c>
      <c r="C30" s="136" t="str">
        <f>IF(A30="","",VLOOKUP(A30,'予選 Ｐ'!$D$5:$F$100,3,0))</f>
        <v>弓長　昇主</v>
      </c>
      <c r="D30" s="138">
        <f>IF(A30="","",VLOOKUP(A30,'予選 Ｐ'!$Y$5:$AE$100,2,0))</f>
        <v>4</v>
      </c>
      <c r="E30" s="138">
        <f>IF(A30="","",VLOOKUP(A30,'予選 Ｐ'!$Y$5:$AE$100,3,0))</f>
        <v>2</v>
      </c>
      <c r="F30" s="138">
        <f>IF(A30="","",VLOOKUP(A30,'予選 Ｐ'!$Y$5:$AE$100,4,0))</f>
        <v>0.5</v>
      </c>
      <c r="G30" s="138">
        <f>IF(A30="","",VLOOKUP(A30,'予選 Ｐ'!$Y$5:$AE$100,5,0))</f>
        <v>16</v>
      </c>
      <c r="H30" s="138">
        <f>IF(A30="","",VLOOKUP(A30,'予選 Ｐ'!$Y$5:$AE$100,6,0))</f>
        <v>14</v>
      </c>
      <c r="I30" s="138">
        <f>IF(A30="","",VLOOKUP(A30,'予選 Ｐ'!$Y$5:$AE$100,7,0))</f>
        <v>2</v>
      </c>
      <c r="J30" s="147">
        <f>IF(A30="","",VLOOKUP(A30,'予選 Ｐ'!$Y$5:$AH$100,9,0))</f>
        <v>0</v>
      </c>
      <c r="K30" s="121" t="str">
        <f t="shared" si="0"/>
        <v>弓長　昇主</v>
      </c>
      <c r="L30" s="121">
        <f t="shared" si="1"/>
        <v>25</v>
      </c>
      <c r="M30" s="121" t="str">
        <f t="shared" si="2"/>
        <v>愛工大付属</v>
      </c>
    </row>
    <row r="31" spans="1:13" s="121" customFormat="1" ht="12">
      <c r="A31" s="136">
        <f>名簿!A30</f>
        <v>26</v>
      </c>
      <c r="B31" s="137" t="str">
        <f>IF(A31="","",VLOOKUP(A31,'予選 Ｐ'!$D$5:$F$100,2,0))</f>
        <v>滋賀ＪＦＣ</v>
      </c>
      <c r="C31" s="136" t="str">
        <f>IF(A31="","",VLOOKUP(A31,'予選 Ｐ'!$D$5:$F$100,3,0))</f>
        <v>白川　柊毅</v>
      </c>
      <c r="D31" s="138">
        <f>IF(A31="","",VLOOKUP(A31,'予選 Ｐ'!$Y$5:$AE$100,2,0))</f>
        <v>4</v>
      </c>
      <c r="E31" s="138">
        <f>IF(A31="","",VLOOKUP(A31,'予選 Ｐ'!$Y$5:$AE$100,3,0))</f>
        <v>2</v>
      </c>
      <c r="F31" s="138">
        <f>IF(A31="","",VLOOKUP(A31,'予選 Ｐ'!$Y$5:$AE$100,4,0))</f>
        <v>0.5</v>
      </c>
      <c r="G31" s="138">
        <f>IF(A31="","",VLOOKUP(A31,'予選 Ｐ'!$Y$5:$AE$100,5,0))</f>
        <v>14</v>
      </c>
      <c r="H31" s="138">
        <f>IF(A31="","",VLOOKUP(A31,'予選 Ｐ'!$Y$5:$AE$100,6,0))</f>
        <v>14</v>
      </c>
      <c r="I31" s="138">
        <f>IF(A31="","",VLOOKUP(A31,'予選 Ｐ'!$Y$5:$AE$100,7,0))</f>
        <v>0</v>
      </c>
      <c r="J31" s="147">
        <f>IF(A31="","",VLOOKUP(A31,'予選 Ｐ'!$Y$5:$AH$100,9,0))</f>
        <v>0</v>
      </c>
      <c r="K31" s="121" t="str">
        <f t="shared" si="0"/>
        <v>白川　柊毅</v>
      </c>
      <c r="L31" s="121">
        <f t="shared" si="1"/>
        <v>26</v>
      </c>
      <c r="M31" s="121" t="str">
        <f t="shared" si="2"/>
        <v>滋賀ＪＦＣ</v>
      </c>
    </row>
    <row r="32" spans="1:13" s="121" customFormat="1" ht="12">
      <c r="A32" s="136">
        <f>名簿!A31</f>
        <v>27</v>
      </c>
      <c r="B32" s="137" t="str">
        <f>IF(A32="","",VLOOKUP(A32,'予選 Ｐ'!$D$5:$F$100,2,0))</f>
        <v>SEIBUスポーツ</v>
      </c>
      <c r="C32" s="136" t="str">
        <f>IF(A32="","",VLOOKUP(A32,'予選 Ｐ'!$D$5:$F$100,3,0))</f>
        <v>大原　士侑</v>
      </c>
      <c r="D32" s="138">
        <f>IF(A32="","",VLOOKUP(A32,'予選 Ｐ'!$Y$5:$AE$100,2,0))</f>
        <v>4</v>
      </c>
      <c r="E32" s="138">
        <f>IF(A32="","",VLOOKUP(A32,'予選 Ｐ'!$Y$5:$AE$100,3,0))</f>
        <v>2</v>
      </c>
      <c r="F32" s="138">
        <f>IF(A32="","",VLOOKUP(A32,'予選 Ｐ'!$Y$5:$AE$100,4,0))</f>
        <v>0.5</v>
      </c>
      <c r="G32" s="138">
        <f>IF(A32="","",VLOOKUP(A32,'予選 Ｐ'!$Y$5:$AE$100,5,0))</f>
        <v>13</v>
      </c>
      <c r="H32" s="138">
        <f>IF(A32="","",VLOOKUP(A32,'予選 Ｐ'!$Y$5:$AE$100,6,0))</f>
        <v>14</v>
      </c>
      <c r="I32" s="138">
        <f>IF(A32="","",VLOOKUP(A32,'予選 Ｐ'!$Y$5:$AE$100,7,0))</f>
        <v>-1</v>
      </c>
      <c r="J32" s="147">
        <f>IF(A32="","",VLOOKUP(A32,'予選 Ｐ'!$Y$5:$AH$100,9,0))</f>
        <v>0</v>
      </c>
      <c r="K32" s="121" t="str">
        <f t="shared" si="0"/>
        <v>大原　士侑</v>
      </c>
      <c r="L32" s="121">
        <f t="shared" si="1"/>
        <v>27</v>
      </c>
      <c r="M32" s="121" t="str">
        <f t="shared" si="2"/>
        <v>SEIBUスポーツ</v>
      </c>
    </row>
    <row r="33" spans="1:13" s="121" customFormat="1" ht="12">
      <c r="A33" s="136">
        <f>名簿!A32</f>
        <v>28</v>
      </c>
      <c r="B33" s="137" t="str">
        <f>IF(A33="","",VLOOKUP(A33,'予選 Ｐ'!$D$5:$F$100,2,0))</f>
        <v>富山パレス</v>
      </c>
      <c r="C33" s="136" t="str">
        <f>IF(A33="","",VLOOKUP(A33,'予選 Ｐ'!$D$5:$F$100,3,0))</f>
        <v>藤野　正真</v>
      </c>
      <c r="D33" s="138">
        <f>IF(A33="","",VLOOKUP(A33,'予選 Ｐ'!$Y$5:$AE$100,2,0))</f>
        <v>5</v>
      </c>
      <c r="E33" s="138">
        <f>IF(A33="","",VLOOKUP(A33,'予選 Ｐ'!$Y$5:$AE$100,3,0))</f>
        <v>2</v>
      </c>
      <c r="F33" s="138">
        <f>IF(A33="","",VLOOKUP(A33,'予選 Ｐ'!$Y$5:$AE$100,4,0))</f>
        <v>0.4</v>
      </c>
      <c r="G33" s="138">
        <f>IF(A33="","",VLOOKUP(A33,'予選 Ｐ'!$Y$5:$AE$100,5,0))</f>
        <v>18</v>
      </c>
      <c r="H33" s="138">
        <f>IF(A33="","",VLOOKUP(A33,'予選 Ｐ'!$Y$5:$AE$100,6,0))</f>
        <v>17</v>
      </c>
      <c r="I33" s="138">
        <f>IF(A33="","",VLOOKUP(A33,'予選 Ｐ'!$Y$5:$AE$100,7,0))</f>
        <v>1</v>
      </c>
      <c r="J33" s="147">
        <f>IF(A33="","",VLOOKUP(A33,'予選 Ｐ'!$Y$5:$AH$100,9,0))</f>
        <v>0</v>
      </c>
      <c r="K33" s="121" t="str">
        <f t="shared" si="0"/>
        <v>藤野　正真</v>
      </c>
      <c r="L33" s="121">
        <f t="shared" si="1"/>
        <v>28</v>
      </c>
      <c r="M33" s="121" t="str">
        <f t="shared" si="2"/>
        <v>富山パレス</v>
      </c>
    </row>
    <row r="34" spans="1:13" s="121" customFormat="1" ht="12">
      <c r="A34" s="136">
        <f>名簿!A33</f>
        <v>29</v>
      </c>
      <c r="B34" s="137" t="str">
        <f>IF(A34="","",VLOOKUP(A34,'予選 Ｐ'!$D$5:$F$100,2,0))</f>
        <v>富山パレス</v>
      </c>
      <c r="C34" s="136" t="str">
        <f>IF(A34="","",VLOOKUP(A34,'予選 Ｐ'!$D$5:$F$100,3,0))</f>
        <v>篠田　真吾</v>
      </c>
      <c r="D34" s="138">
        <f>IF(A34="","",VLOOKUP(A34,'予選 Ｐ'!$Y$5:$AE$100,2,0))</f>
        <v>5</v>
      </c>
      <c r="E34" s="138">
        <f>IF(A34="","",VLOOKUP(A34,'予選 Ｐ'!$Y$5:$AE$100,3,0))</f>
        <v>2</v>
      </c>
      <c r="F34" s="138">
        <f>IF(A34="","",VLOOKUP(A34,'予選 Ｐ'!$Y$5:$AE$100,4,0))</f>
        <v>0.4</v>
      </c>
      <c r="G34" s="138">
        <f>IF(A34="","",VLOOKUP(A34,'予選 Ｐ'!$Y$5:$AE$100,5,0))</f>
        <v>17</v>
      </c>
      <c r="H34" s="138">
        <f>IF(A34="","",VLOOKUP(A34,'予選 Ｐ'!$Y$5:$AE$100,6,0))</f>
        <v>19</v>
      </c>
      <c r="I34" s="138">
        <f>IF(A34="","",VLOOKUP(A34,'予選 Ｐ'!$Y$5:$AE$100,7,0))</f>
        <v>-2</v>
      </c>
      <c r="J34" s="147">
        <f>IF(A34="","",VLOOKUP(A34,'予選 Ｐ'!$Y$5:$AH$100,9,0))</f>
        <v>0</v>
      </c>
      <c r="K34" s="121" t="str">
        <f t="shared" si="0"/>
        <v>篠田　真吾</v>
      </c>
      <c r="L34" s="121">
        <f t="shared" si="1"/>
        <v>29</v>
      </c>
      <c r="M34" s="121" t="str">
        <f t="shared" si="2"/>
        <v>富山パレス</v>
      </c>
    </row>
    <row r="35" spans="1:13" s="121" customFormat="1" ht="12">
      <c r="A35" s="136">
        <f>名簿!A34</f>
        <v>30</v>
      </c>
      <c r="B35" s="137" t="str">
        <f>IF(A35="","",VLOOKUP(A35,'予選 Ｐ'!$D$5:$F$100,2,0))</f>
        <v>愛工大付属</v>
      </c>
      <c r="C35" s="136" t="str">
        <f>IF(A35="","",VLOOKUP(A35,'予選 Ｐ'!$D$5:$F$100,3,0))</f>
        <v>堀　智貴</v>
      </c>
      <c r="D35" s="138">
        <f>IF(A35="","",VLOOKUP(A35,'予選 Ｐ'!$Y$5:$AE$100,2,0))</f>
        <v>5</v>
      </c>
      <c r="E35" s="138">
        <f>IF(A35="","",VLOOKUP(A35,'予選 Ｐ'!$Y$5:$AE$100,3,0))</f>
        <v>2</v>
      </c>
      <c r="F35" s="138">
        <f>IF(A35="","",VLOOKUP(A35,'予選 Ｐ'!$Y$5:$AE$100,4,0))</f>
        <v>0.4</v>
      </c>
      <c r="G35" s="138">
        <f>IF(A35="","",VLOOKUP(A35,'予選 Ｐ'!$Y$5:$AE$100,5,0))</f>
        <v>16</v>
      </c>
      <c r="H35" s="138">
        <f>IF(A35="","",VLOOKUP(A35,'予選 Ｐ'!$Y$5:$AE$100,6,0))</f>
        <v>18</v>
      </c>
      <c r="I35" s="138">
        <f>IF(A35="","",VLOOKUP(A35,'予選 Ｐ'!$Y$5:$AE$100,7,0))</f>
        <v>-2</v>
      </c>
      <c r="J35" s="147">
        <f>IF(A35="","",VLOOKUP(A35,'予選 Ｐ'!$Y$5:$AH$100,9,0))</f>
        <v>0</v>
      </c>
      <c r="K35" s="121" t="str">
        <f t="shared" si="0"/>
        <v>堀　智貴</v>
      </c>
      <c r="L35" s="121">
        <f t="shared" si="1"/>
        <v>30</v>
      </c>
      <c r="M35" s="121" t="str">
        <f t="shared" si="2"/>
        <v>愛工大付属</v>
      </c>
    </row>
    <row r="36" spans="1:13" s="121" customFormat="1" ht="12">
      <c r="A36" s="136">
        <f>名簿!A35</f>
        <v>31</v>
      </c>
      <c r="B36" s="137" t="str">
        <f>IF(A36="","",VLOOKUP(A36,'予選 Ｐ'!$D$5:$F$100,2,0))</f>
        <v>はしまモア</v>
      </c>
      <c r="C36" s="136" t="str">
        <f>IF(A36="","",VLOOKUP(A36,'予選 Ｐ'!$D$5:$F$100,3,0))</f>
        <v>光田　陽翔</v>
      </c>
      <c r="D36" s="138">
        <f>IF(A36="","",VLOOKUP(A36,'予選 Ｐ'!$Y$5:$AE$100,2,0))</f>
        <v>5</v>
      </c>
      <c r="E36" s="138">
        <f>IF(A36="","",VLOOKUP(A36,'予選 Ｐ'!$Y$5:$AE$100,3,0))</f>
        <v>2</v>
      </c>
      <c r="F36" s="138">
        <f>IF(A36="","",VLOOKUP(A36,'予選 Ｐ'!$Y$5:$AE$100,4,0))</f>
        <v>0.4</v>
      </c>
      <c r="G36" s="138">
        <f>IF(A36="","",VLOOKUP(A36,'予選 Ｐ'!$Y$5:$AE$100,5,0))</f>
        <v>14</v>
      </c>
      <c r="H36" s="138">
        <f>IF(A36="","",VLOOKUP(A36,'予選 Ｐ'!$Y$5:$AE$100,6,0))</f>
        <v>16</v>
      </c>
      <c r="I36" s="138">
        <f>IF(A36="","",VLOOKUP(A36,'予選 Ｐ'!$Y$5:$AE$100,7,0))</f>
        <v>-2</v>
      </c>
      <c r="J36" s="147">
        <f>IF(A36="","",VLOOKUP(A36,'予選 Ｐ'!$Y$5:$AH$100,9,0))</f>
        <v>0</v>
      </c>
      <c r="K36" s="121" t="str">
        <f t="shared" si="0"/>
        <v>光田　陽翔</v>
      </c>
      <c r="L36" s="121">
        <f t="shared" si="1"/>
        <v>31</v>
      </c>
      <c r="M36" s="121" t="str">
        <f t="shared" si="2"/>
        <v>はしまモア</v>
      </c>
    </row>
    <row r="37" spans="1:13" s="121" customFormat="1" ht="12">
      <c r="A37" s="136">
        <f>名簿!A36</f>
        <v>32</v>
      </c>
      <c r="B37" s="137" t="str">
        <f>IF(A37="","",VLOOKUP(A37,'予選 Ｐ'!$D$5:$F$100,2,0))</f>
        <v>富山パレス</v>
      </c>
      <c r="C37" s="136" t="str">
        <f>IF(A37="","",VLOOKUP(A37,'予選 Ｐ'!$D$5:$F$100,3,0))</f>
        <v>土田　龍也</v>
      </c>
      <c r="D37" s="138">
        <f>IF(A37="","",VLOOKUP(A37,'予選 Ｐ'!$Y$5:$AE$100,2,0))</f>
        <v>5</v>
      </c>
      <c r="E37" s="138">
        <f>IF(A37="","",VLOOKUP(A37,'予選 Ｐ'!$Y$5:$AE$100,3,0))</f>
        <v>2</v>
      </c>
      <c r="F37" s="138">
        <f>IF(A37="","",VLOOKUP(A37,'予選 Ｐ'!$Y$5:$AE$100,4,0))</f>
        <v>0.4</v>
      </c>
      <c r="G37" s="138">
        <f>IF(A37="","",VLOOKUP(A37,'予選 Ｐ'!$Y$5:$AE$100,5,0))</f>
        <v>15</v>
      </c>
      <c r="H37" s="138">
        <f>IF(A37="","",VLOOKUP(A37,'予選 Ｐ'!$Y$5:$AE$100,6,0))</f>
        <v>18</v>
      </c>
      <c r="I37" s="138">
        <f>IF(A37="","",VLOOKUP(A37,'予選 Ｐ'!$Y$5:$AE$100,7,0))</f>
        <v>-3</v>
      </c>
      <c r="J37" s="147">
        <f>IF(A37="","",VLOOKUP(A37,'予選 Ｐ'!$Y$5:$AH$100,9,0))</f>
        <v>0</v>
      </c>
      <c r="K37" s="121" t="str">
        <f t="shared" si="0"/>
        <v>土田　龍也</v>
      </c>
      <c r="L37" s="121">
        <f t="shared" si="1"/>
        <v>32</v>
      </c>
      <c r="M37" s="121" t="str">
        <f t="shared" si="2"/>
        <v>富山パレス</v>
      </c>
    </row>
    <row r="38" spans="1:13" s="121" customFormat="1" ht="12">
      <c r="A38" s="136">
        <f>名簿!A37</f>
        <v>33</v>
      </c>
      <c r="B38" s="137" t="str">
        <f>IF(A38="","",VLOOKUP(A38,'予選 Ｐ'!$D$5:$F$100,2,0))</f>
        <v>長野ジュニア</v>
      </c>
      <c r="C38" s="136" t="str">
        <f>IF(A38="","",VLOOKUP(A38,'予選 Ｐ'!$D$5:$F$100,3,0))</f>
        <v>登内　雄心</v>
      </c>
      <c r="D38" s="138">
        <f>IF(A38="","",VLOOKUP(A38,'予選 Ｐ'!$Y$5:$AE$100,2,0))</f>
        <v>4</v>
      </c>
      <c r="E38" s="138">
        <f>IF(A38="","",VLOOKUP(A38,'予選 Ｐ'!$Y$5:$AE$100,3,0))</f>
        <v>1</v>
      </c>
      <c r="F38" s="138">
        <f>IF(A38="","",VLOOKUP(A38,'予選 Ｐ'!$Y$5:$AE$100,4,0))</f>
        <v>0.25</v>
      </c>
      <c r="G38" s="138">
        <f>IF(A38="","",VLOOKUP(A38,'予選 Ｐ'!$Y$5:$AE$100,5,0))</f>
        <v>10</v>
      </c>
      <c r="H38" s="138">
        <f>IF(A38="","",VLOOKUP(A38,'予選 Ｐ'!$Y$5:$AE$100,6,0))</f>
        <v>14</v>
      </c>
      <c r="I38" s="138">
        <f>IF(A38="","",VLOOKUP(A38,'予選 Ｐ'!$Y$5:$AE$100,7,0))</f>
        <v>-4</v>
      </c>
      <c r="J38" s="147">
        <f>IF(A38="","",VLOOKUP(A38,'予選 Ｐ'!$Y$5:$AH$100,9,0))</f>
        <v>0</v>
      </c>
      <c r="K38" s="121" t="str">
        <f t="shared" si="0"/>
        <v>登内　雄心</v>
      </c>
      <c r="L38" s="121">
        <f t="shared" si="1"/>
        <v>33</v>
      </c>
      <c r="M38" s="121" t="str">
        <f t="shared" si="2"/>
        <v>長野ジュニア</v>
      </c>
    </row>
    <row r="39" spans="1:13" s="121" customFormat="1" ht="12">
      <c r="A39" s="136">
        <f>名簿!A38</f>
        <v>34</v>
      </c>
      <c r="B39" s="137" t="str">
        <f>IF(A39="","",VLOOKUP(A39,'予選 Ｐ'!$D$5:$F$100,2,0))</f>
        <v>はしまモア</v>
      </c>
      <c r="C39" s="136" t="str">
        <f>IF(A39="","",VLOOKUP(A39,'予選 Ｐ'!$D$5:$F$100,3,0))</f>
        <v>大橋　拓叶</v>
      </c>
      <c r="D39" s="138">
        <f>IF(A39="","",VLOOKUP(A39,'予選 Ｐ'!$Y$5:$AE$100,2,0))</f>
        <v>4</v>
      </c>
      <c r="E39" s="138">
        <f>IF(A39="","",VLOOKUP(A39,'予選 Ｐ'!$Y$5:$AE$100,3,0))</f>
        <v>1</v>
      </c>
      <c r="F39" s="138">
        <f>IF(A39="","",VLOOKUP(A39,'予選 Ｐ'!$Y$5:$AE$100,4,0))</f>
        <v>0.25</v>
      </c>
      <c r="G39" s="138">
        <f>IF(A39="","",VLOOKUP(A39,'予選 Ｐ'!$Y$5:$AE$100,5,0))</f>
        <v>9</v>
      </c>
      <c r="H39" s="138">
        <f>IF(A39="","",VLOOKUP(A39,'予選 Ｐ'!$Y$5:$AE$100,6,0))</f>
        <v>17</v>
      </c>
      <c r="I39" s="138">
        <f>IF(A39="","",VLOOKUP(A39,'予選 Ｐ'!$Y$5:$AE$100,7,0))</f>
        <v>-8</v>
      </c>
      <c r="J39" s="147">
        <f>IF(A39="","",VLOOKUP(A39,'予選 Ｐ'!$Y$5:$AH$100,9,0))</f>
        <v>0</v>
      </c>
      <c r="K39" s="121" t="str">
        <f t="shared" si="0"/>
        <v>大橋　拓叶</v>
      </c>
      <c r="L39" s="121">
        <f t="shared" si="1"/>
        <v>34</v>
      </c>
      <c r="M39" s="121" t="str">
        <f t="shared" si="2"/>
        <v>はしまモア</v>
      </c>
    </row>
    <row r="40" spans="1:13" s="121" customFormat="1" ht="12">
      <c r="A40" s="136">
        <f>名簿!A39</f>
        <v>35</v>
      </c>
      <c r="B40" s="137" t="str">
        <f>IF(A40="","",VLOOKUP(A40,'予選 Ｐ'!$D$5:$F$100,2,0))</f>
        <v>速星中学校</v>
      </c>
      <c r="C40" s="136" t="str">
        <f>IF(A40="","",VLOOKUP(A40,'予選 Ｐ'!$D$5:$F$100,3,0))</f>
        <v>山岸　凜生</v>
      </c>
      <c r="D40" s="138">
        <f>IF(A40="","",VLOOKUP(A40,'予選 Ｐ'!$Y$5:$AE$100,2,0))</f>
        <v>4</v>
      </c>
      <c r="E40" s="138">
        <f>IF(A40="","",VLOOKUP(A40,'予選 Ｐ'!$Y$5:$AE$100,3,0))</f>
        <v>1</v>
      </c>
      <c r="F40" s="138">
        <f>IF(A40="","",VLOOKUP(A40,'予選 Ｐ'!$Y$5:$AE$100,4,0))</f>
        <v>0.25</v>
      </c>
      <c r="G40" s="138">
        <f>IF(A40="","",VLOOKUP(A40,'予選 Ｐ'!$Y$5:$AE$100,5,0))</f>
        <v>8</v>
      </c>
      <c r="H40" s="138">
        <f>IF(A40="","",VLOOKUP(A40,'予選 Ｐ'!$Y$5:$AE$100,6,0))</f>
        <v>18</v>
      </c>
      <c r="I40" s="138">
        <f>IF(A40="","",VLOOKUP(A40,'予選 Ｐ'!$Y$5:$AE$100,7,0))</f>
        <v>-10</v>
      </c>
      <c r="J40" s="147">
        <f>IF(A40="","",VLOOKUP(A40,'予選 Ｐ'!$Y$5:$AH$100,9,0))</f>
        <v>0</v>
      </c>
      <c r="K40" s="121" t="str">
        <f t="shared" si="0"/>
        <v>山岸　凜生</v>
      </c>
      <c r="L40" s="121">
        <f t="shared" si="1"/>
        <v>35</v>
      </c>
      <c r="M40" s="121" t="str">
        <f t="shared" si="2"/>
        <v>速星中学校</v>
      </c>
    </row>
    <row r="41" spans="1:13" s="121" customFormat="1" ht="12">
      <c r="A41" s="136">
        <f>名簿!A40</f>
        <v>36</v>
      </c>
      <c r="B41" s="137" t="str">
        <f>IF(A41="","",VLOOKUP(A41,'予選 Ｐ'!$D$5:$F$100,2,0))</f>
        <v>速星中学校</v>
      </c>
      <c r="C41" s="136" t="str">
        <f>IF(A41="","",VLOOKUP(A41,'予選 Ｐ'!$D$5:$F$100,3,0))</f>
        <v>飯田　龍基</v>
      </c>
      <c r="D41" s="138">
        <f>IF(A41="","",VLOOKUP(A41,'予選 Ｐ'!$Y$5:$AE$100,2,0))</f>
        <v>4</v>
      </c>
      <c r="E41" s="138">
        <f>IF(A41="","",VLOOKUP(A41,'予選 Ｐ'!$Y$5:$AE$100,3,0))</f>
        <v>1</v>
      </c>
      <c r="F41" s="138">
        <f>IF(A41="","",VLOOKUP(A41,'予選 Ｐ'!$Y$5:$AE$100,4,0))</f>
        <v>0.25</v>
      </c>
      <c r="G41" s="138">
        <f>IF(A41="","",VLOOKUP(A41,'予選 Ｐ'!$Y$5:$AE$100,5,0))</f>
        <v>7</v>
      </c>
      <c r="H41" s="138">
        <f>IF(A41="","",VLOOKUP(A41,'予選 Ｐ'!$Y$5:$AE$100,6,0))</f>
        <v>17</v>
      </c>
      <c r="I41" s="138">
        <f>IF(A41="","",VLOOKUP(A41,'予選 Ｐ'!$Y$5:$AE$100,7,0))</f>
        <v>-10</v>
      </c>
      <c r="J41" s="147">
        <f>IF(A41="","",VLOOKUP(A41,'予選 Ｐ'!$Y$5:$AH$100,9,0))</f>
        <v>0</v>
      </c>
      <c r="K41" s="121" t="str">
        <f t="shared" si="0"/>
        <v>飯田　龍基</v>
      </c>
      <c r="L41" s="121">
        <f t="shared" si="1"/>
        <v>36</v>
      </c>
      <c r="M41" s="121" t="str">
        <f t="shared" si="2"/>
        <v>速星中学校</v>
      </c>
    </row>
    <row r="42" spans="1:13" s="121" customFormat="1" ht="12">
      <c r="A42" s="136">
        <f>名簿!A41</f>
        <v>37</v>
      </c>
      <c r="B42" s="137" t="str">
        <f>IF(A42="","",VLOOKUP(A42,'予選 Ｐ'!$D$5:$F$100,2,0))</f>
        <v>速星中学校</v>
      </c>
      <c r="C42" s="136" t="str">
        <f>IF(A42="","",VLOOKUP(A42,'予選 Ｐ'!$D$5:$F$100,3,0))</f>
        <v>山崎　竜聖</v>
      </c>
      <c r="D42" s="138">
        <f>IF(A42="","",VLOOKUP(A42,'予選 Ｐ'!$Y$5:$AE$100,2,0))</f>
        <v>4</v>
      </c>
      <c r="E42" s="138">
        <f>IF(A42="","",VLOOKUP(A42,'予選 Ｐ'!$Y$5:$AE$100,3,0))</f>
        <v>1</v>
      </c>
      <c r="F42" s="138">
        <f>IF(A42="","",VLOOKUP(A42,'予選 Ｐ'!$Y$5:$AE$100,4,0))</f>
        <v>0.25</v>
      </c>
      <c r="G42" s="138">
        <f>IF(A42="","",VLOOKUP(A42,'予選 Ｐ'!$Y$5:$AE$100,5,0))</f>
        <v>7</v>
      </c>
      <c r="H42" s="138">
        <f>IF(A42="","",VLOOKUP(A42,'予選 Ｐ'!$Y$5:$AE$100,6,0))</f>
        <v>17</v>
      </c>
      <c r="I42" s="138">
        <f>IF(A42="","",VLOOKUP(A42,'予選 Ｐ'!$Y$5:$AE$100,7,0))</f>
        <v>-10</v>
      </c>
      <c r="J42" s="147">
        <f>IF(A42="","",VLOOKUP(A42,'予選 Ｐ'!$Y$5:$AH$100,9,0))</f>
        <v>0</v>
      </c>
      <c r="K42" s="121" t="str">
        <f t="shared" si="0"/>
        <v>山崎　竜聖</v>
      </c>
      <c r="L42" s="121">
        <f t="shared" si="1"/>
        <v>37</v>
      </c>
      <c r="M42" s="121" t="str">
        <f t="shared" si="2"/>
        <v>速星中学校</v>
      </c>
    </row>
    <row r="43" spans="1:13" s="121" customFormat="1" ht="12">
      <c r="A43" s="136">
        <f>名簿!A42</f>
        <v>38</v>
      </c>
      <c r="B43" s="137" t="str">
        <f>IF(A43="","",VLOOKUP(A43,'予選 Ｐ'!$D$5:$F$100,2,0))</f>
        <v>愛工大付属</v>
      </c>
      <c r="C43" s="136" t="str">
        <f>IF(A43="","",VLOOKUP(A43,'予選 Ｐ'!$D$5:$F$100,3,0))</f>
        <v>山口　倫生</v>
      </c>
      <c r="D43" s="138">
        <f>IF(A43="","",VLOOKUP(A43,'予選 Ｐ'!$Y$5:$AE$100,2,0))</f>
        <v>5</v>
      </c>
      <c r="E43" s="138">
        <f>IF(A43="","",VLOOKUP(A43,'予選 Ｐ'!$Y$5:$AE$100,3,0))</f>
        <v>1</v>
      </c>
      <c r="F43" s="138">
        <f>IF(A43="","",VLOOKUP(A43,'予選 Ｐ'!$Y$5:$AE$100,4,0))</f>
        <v>0.2</v>
      </c>
      <c r="G43" s="138">
        <f>IF(A43="","",VLOOKUP(A43,'予選 Ｐ'!$Y$5:$AE$100,5,0))</f>
        <v>12</v>
      </c>
      <c r="H43" s="138">
        <f>IF(A43="","",VLOOKUP(A43,'予選 Ｐ'!$Y$5:$AE$100,6,0))</f>
        <v>21</v>
      </c>
      <c r="I43" s="138">
        <f>IF(A43="","",VLOOKUP(A43,'予選 Ｐ'!$Y$5:$AE$100,7,0))</f>
        <v>-9</v>
      </c>
      <c r="J43" s="147">
        <f>IF(A43="","",VLOOKUP(A43,'予選 Ｐ'!$Y$5:$AH$100,9,0))</f>
        <v>0</v>
      </c>
      <c r="K43" s="121" t="str">
        <f t="shared" si="0"/>
        <v>山口　倫生</v>
      </c>
      <c r="L43" s="121">
        <f t="shared" si="1"/>
        <v>38</v>
      </c>
      <c r="M43" s="121" t="str">
        <f t="shared" si="2"/>
        <v>愛工大付属</v>
      </c>
    </row>
    <row r="44" spans="1:13" s="121" customFormat="1" ht="12">
      <c r="A44" s="136">
        <f>名簿!A43</f>
        <v>39</v>
      </c>
      <c r="B44" s="137" t="str">
        <f>IF(A44="","",VLOOKUP(A44,'予選 Ｐ'!$D$5:$F$100,2,0))</f>
        <v>愛工大付属</v>
      </c>
      <c r="C44" s="136" t="str">
        <f>IF(A44="","",VLOOKUP(A44,'予選 Ｐ'!$D$5:$F$100,3,0))</f>
        <v>永津　稜麻</v>
      </c>
      <c r="D44" s="138">
        <f>IF(A44="","",VLOOKUP(A44,'予選 Ｐ'!$Y$5:$AE$100,2,0))</f>
        <v>5</v>
      </c>
      <c r="E44" s="138">
        <f>IF(A44="","",VLOOKUP(A44,'予選 Ｐ'!$Y$5:$AE$100,3,0))</f>
        <v>1</v>
      </c>
      <c r="F44" s="138">
        <f>IF(A44="","",VLOOKUP(A44,'予選 Ｐ'!$Y$5:$AE$100,4,0))</f>
        <v>0.2</v>
      </c>
      <c r="G44" s="138">
        <f>IF(A44="","",VLOOKUP(A44,'予選 Ｐ'!$Y$5:$AE$100,5,0))</f>
        <v>8</v>
      </c>
      <c r="H44" s="138">
        <f>IF(A44="","",VLOOKUP(A44,'予選 Ｐ'!$Y$5:$AE$100,6,0))</f>
        <v>24</v>
      </c>
      <c r="I44" s="138">
        <f>IF(A44="","",VLOOKUP(A44,'予選 Ｐ'!$Y$5:$AE$100,7,0))</f>
        <v>-16</v>
      </c>
      <c r="J44" s="147">
        <f>IF(A44="","",VLOOKUP(A44,'予選 Ｐ'!$Y$5:$AH$100,9,0))</f>
        <v>0</v>
      </c>
      <c r="K44" s="121" t="str">
        <f t="shared" si="0"/>
        <v>永津　稜麻</v>
      </c>
      <c r="L44" s="121">
        <f t="shared" si="1"/>
        <v>39</v>
      </c>
      <c r="M44" s="121" t="str">
        <f t="shared" si="2"/>
        <v>愛工大付属</v>
      </c>
    </row>
    <row r="45" spans="1:13" s="121" customFormat="1" ht="12">
      <c r="A45" s="136">
        <f>名簿!A44</f>
        <v>40</v>
      </c>
      <c r="B45" s="137" t="str">
        <f>IF(A45="","",VLOOKUP(A45,'予選 Ｐ'!$D$5:$F$100,2,0))</f>
        <v>速星中学校</v>
      </c>
      <c r="C45" s="136" t="str">
        <f>IF(A45="","",VLOOKUP(A45,'予選 Ｐ'!$D$5:$F$100,3,0))</f>
        <v>長畑　知大</v>
      </c>
      <c r="D45" s="138">
        <f>IF(A45="","",VLOOKUP(A45,'予選 Ｐ'!$Y$5:$AE$100,2,0))</f>
        <v>5</v>
      </c>
      <c r="E45" s="138">
        <f>IF(A45="","",VLOOKUP(A45,'予選 Ｐ'!$Y$5:$AE$100,3,0))</f>
        <v>1</v>
      </c>
      <c r="F45" s="138">
        <f>IF(A45="","",VLOOKUP(A45,'予選 Ｐ'!$Y$5:$AE$100,4,0))</f>
        <v>0.2</v>
      </c>
      <c r="G45" s="138">
        <f>IF(A45="","",VLOOKUP(A45,'予選 Ｐ'!$Y$5:$AE$100,5,0))</f>
        <v>7</v>
      </c>
      <c r="H45" s="138">
        <f>IF(A45="","",VLOOKUP(A45,'予選 Ｐ'!$Y$5:$AE$100,6,0))</f>
        <v>23</v>
      </c>
      <c r="I45" s="138">
        <f>IF(A45="","",VLOOKUP(A45,'予選 Ｐ'!$Y$5:$AE$100,7,0))</f>
        <v>-16</v>
      </c>
      <c r="J45" s="147">
        <f>IF(A45="","",VLOOKUP(A45,'予選 Ｐ'!$Y$5:$AH$100,9,0))</f>
        <v>0</v>
      </c>
      <c r="K45" s="121" t="str">
        <f t="shared" si="0"/>
        <v>長畑　知大</v>
      </c>
      <c r="L45" s="121">
        <f t="shared" si="1"/>
        <v>40</v>
      </c>
      <c r="M45" s="121" t="str">
        <f t="shared" si="2"/>
        <v>速星中学校</v>
      </c>
    </row>
    <row r="46" spans="1:13" s="121" customFormat="1" ht="12">
      <c r="A46" s="136">
        <f>名簿!A45</f>
        <v>41</v>
      </c>
      <c r="B46" s="137" t="str">
        <f>IF(A46="","",VLOOKUP(A46,'予選 Ｐ'!$D$5:$F$100,2,0))</f>
        <v>速星中学校</v>
      </c>
      <c r="C46" s="136" t="str">
        <f>IF(A46="","",VLOOKUP(A46,'予選 Ｐ'!$D$5:$F$100,3,0))</f>
        <v>濱崎　隼十</v>
      </c>
      <c r="D46" s="138">
        <f>IF(A46="","",VLOOKUP(A46,'予選 Ｐ'!$Y$5:$AE$100,2,0))</f>
        <v>5</v>
      </c>
      <c r="E46" s="138">
        <f>IF(A46="","",VLOOKUP(A46,'予選 Ｐ'!$Y$5:$AE$100,3,0))</f>
        <v>0</v>
      </c>
      <c r="F46" s="138">
        <f>IF(A46="","",VLOOKUP(A46,'予選 Ｐ'!$Y$5:$AE$100,4,0))</f>
        <v>0</v>
      </c>
      <c r="G46" s="138">
        <f>IF(A46="","",VLOOKUP(A46,'予選 Ｐ'!$Y$5:$AE$100,5,0))</f>
        <v>15</v>
      </c>
      <c r="H46" s="138">
        <f>IF(A46="","",VLOOKUP(A46,'予選 Ｐ'!$Y$5:$AE$100,6,0))</f>
        <v>25</v>
      </c>
      <c r="I46" s="138">
        <f>IF(A46="","",VLOOKUP(A46,'予選 Ｐ'!$Y$5:$AE$100,7,0))</f>
        <v>-10</v>
      </c>
      <c r="J46" s="147">
        <f>IF(A46="","",VLOOKUP(A46,'予選 Ｐ'!$Y$5:$AH$100,9,0))</f>
        <v>0</v>
      </c>
      <c r="K46" s="121" t="str">
        <f t="shared" si="0"/>
        <v>濱崎　隼十</v>
      </c>
      <c r="L46" s="121">
        <f t="shared" si="1"/>
        <v>41</v>
      </c>
      <c r="M46" s="121" t="str">
        <f t="shared" si="2"/>
        <v>速星中学校</v>
      </c>
    </row>
    <row r="47" spans="1:13" s="121" customFormat="1" ht="12">
      <c r="A47" s="136">
        <f>名簿!A46</f>
        <v>42</v>
      </c>
      <c r="B47" s="137" t="str">
        <f>IF(A47="","",VLOOKUP(A47,'予選 Ｐ'!$D$5:$F$100,2,0))</f>
        <v>武生二中</v>
      </c>
      <c r="C47" s="136" t="str">
        <f>IF(A47="","",VLOOKUP(A47,'予選 Ｐ'!$D$5:$F$100,3,0))</f>
        <v>坂下　快斗</v>
      </c>
      <c r="D47" s="138">
        <f>IF(A47="","",VLOOKUP(A47,'予選 Ｐ'!$Y$5:$AE$100,2,0))</f>
        <v>4</v>
      </c>
      <c r="E47" s="138">
        <f>IF(A47="","",VLOOKUP(A47,'予選 Ｐ'!$Y$5:$AE$100,3,0))</f>
        <v>0</v>
      </c>
      <c r="F47" s="138">
        <f>IF(A47="","",VLOOKUP(A47,'予選 Ｐ'!$Y$5:$AE$100,4,0))</f>
        <v>0</v>
      </c>
      <c r="G47" s="138">
        <f>IF(A47="","",VLOOKUP(A47,'予選 Ｐ'!$Y$5:$AE$100,5,0))</f>
        <v>9</v>
      </c>
      <c r="H47" s="138">
        <f>IF(A47="","",VLOOKUP(A47,'予選 Ｐ'!$Y$5:$AE$100,6,0))</f>
        <v>20</v>
      </c>
      <c r="I47" s="138">
        <f>IF(A47="","",VLOOKUP(A47,'予選 Ｐ'!$Y$5:$AE$100,7,0))</f>
        <v>-11</v>
      </c>
      <c r="J47" s="147">
        <f>IF(A47="","",VLOOKUP(A47,'予選 Ｐ'!$Y$5:$AH$100,9,0))</f>
        <v>0</v>
      </c>
      <c r="K47" s="121" t="str">
        <f t="shared" si="0"/>
        <v>坂下　快斗</v>
      </c>
      <c r="L47" s="121">
        <f t="shared" si="1"/>
        <v>42</v>
      </c>
      <c r="M47" s="121" t="str">
        <f t="shared" si="2"/>
        <v>武生二中</v>
      </c>
    </row>
    <row r="48" spans="1:13" s="121" customFormat="1" ht="12">
      <c r="A48" s="136">
        <f>名簿!A47</f>
        <v>43</v>
      </c>
      <c r="B48" s="137" t="str">
        <f>IF(A48="","",VLOOKUP(A48,'予選 Ｐ'!$D$5:$F$100,2,0))</f>
        <v>速星中学校</v>
      </c>
      <c r="C48" s="136" t="str">
        <f>IF(A48="","",VLOOKUP(A48,'予選 Ｐ'!$D$5:$F$100,3,0))</f>
        <v>小林　颯一</v>
      </c>
      <c r="D48" s="138">
        <f>IF(A48="","",VLOOKUP(A48,'予選 Ｐ'!$Y$5:$AE$100,2,0))</f>
        <v>5</v>
      </c>
      <c r="E48" s="138">
        <f>IF(A48="","",VLOOKUP(A48,'予選 Ｐ'!$Y$5:$AE$100,3,0))</f>
        <v>0</v>
      </c>
      <c r="F48" s="138">
        <f>IF(A48="","",VLOOKUP(A48,'予選 Ｐ'!$Y$5:$AE$100,4,0))</f>
        <v>0</v>
      </c>
      <c r="G48" s="138">
        <f>IF(A48="","",VLOOKUP(A48,'予選 Ｐ'!$Y$5:$AE$100,5,0))</f>
        <v>13</v>
      </c>
      <c r="H48" s="138">
        <f>IF(A48="","",VLOOKUP(A48,'予選 Ｐ'!$Y$5:$AE$100,6,0))</f>
        <v>25</v>
      </c>
      <c r="I48" s="138">
        <f>IF(A48="","",VLOOKUP(A48,'予選 Ｐ'!$Y$5:$AE$100,7,0))</f>
        <v>-12</v>
      </c>
      <c r="J48" s="147">
        <f>IF(A48="","",VLOOKUP(A48,'予選 Ｐ'!$Y$5:$AH$100,9,0))</f>
        <v>0</v>
      </c>
      <c r="K48" s="121" t="str">
        <f t="shared" si="0"/>
        <v>小林　颯一</v>
      </c>
      <c r="L48" s="121">
        <f t="shared" si="1"/>
        <v>43</v>
      </c>
      <c r="M48" s="121" t="str">
        <f t="shared" si="2"/>
        <v>速星中学校</v>
      </c>
    </row>
    <row r="49" spans="1:13" s="121" customFormat="1" ht="12">
      <c r="A49" s="136">
        <f>名簿!A48</f>
        <v>44</v>
      </c>
      <c r="B49" s="137" t="str">
        <f>IF(A49="","",VLOOKUP(A49,'予選 Ｐ'!$D$5:$F$100,2,0))</f>
        <v>養老ＦＣ</v>
      </c>
      <c r="C49" s="136" t="str">
        <f>IF(A49="","",VLOOKUP(A49,'予選 Ｐ'!$D$5:$F$100,3,0))</f>
        <v>北川　虎侑</v>
      </c>
      <c r="D49" s="138">
        <f>IF(A49="","",VLOOKUP(A49,'予選 Ｐ'!$Y$5:$AE$100,2,0))</f>
        <v>4</v>
      </c>
      <c r="E49" s="138">
        <f>IF(A49="","",VLOOKUP(A49,'予選 Ｐ'!$Y$5:$AE$100,3,0))</f>
        <v>0</v>
      </c>
      <c r="F49" s="138">
        <f>IF(A49="","",VLOOKUP(A49,'予選 Ｐ'!$Y$5:$AE$100,4,0))</f>
        <v>0</v>
      </c>
      <c r="G49" s="138">
        <f>IF(A49="","",VLOOKUP(A49,'予選 Ｐ'!$Y$5:$AE$100,5,0))</f>
        <v>7</v>
      </c>
      <c r="H49" s="138">
        <f>IF(A49="","",VLOOKUP(A49,'予選 Ｐ'!$Y$5:$AE$100,6,0))</f>
        <v>20</v>
      </c>
      <c r="I49" s="138">
        <f>IF(A49="","",VLOOKUP(A49,'予選 Ｐ'!$Y$5:$AE$100,7,0))</f>
        <v>-13</v>
      </c>
      <c r="J49" s="147">
        <f>IF(A49="","",VLOOKUP(A49,'予選 Ｐ'!$Y$5:$AH$100,9,0))</f>
        <v>0</v>
      </c>
      <c r="K49" s="121" t="str">
        <f t="shared" si="0"/>
        <v>北川　虎侑</v>
      </c>
      <c r="L49" s="121">
        <f t="shared" si="1"/>
        <v>44</v>
      </c>
      <c r="M49" s="121" t="str">
        <f t="shared" si="2"/>
        <v>養老ＦＣ</v>
      </c>
    </row>
    <row r="50" spans="1:13" s="121" customFormat="1" ht="12">
      <c r="A50" s="136">
        <f>名簿!A49</f>
        <v>45</v>
      </c>
      <c r="B50" s="137" t="str">
        <f>IF(A50="","",VLOOKUP(A50,'予選 Ｐ'!$D$5:$F$100,2,0))</f>
        <v>速星中学校</v>
      </c>
      <c r="C50" s="136" t="str">
        <f>IF(A50="","",VLOOKUP(A50,'予選 Ｐ'!$D$5:$F$100,3,0))</f>
        <v>細川　唯人</v>
      </c>
      <c r="D50" s="138">
        <f>IF(A50="","",VLOOKUP(A50,'予選 Ｐ'!$Y$5:$AE$100,2,0))</f>
        <v>4</v>
      </c>
      <c r="E50" s="138">
        <f>IF(A50="","",VLOOKUP(A50,'予選 Ｐ'!$Y$5:$AE$100,3,0))</f>
        <v>0</v>
      </c>
      <c r="F50" s="138">
        <f>IF(A50="","",VLOOKUP(A50,'予選 Ｐ'!$Y$5:$AE$100,4,0))</f>
        <v>0</v>
      </c>
      <c r="G50" s="138">
        <f>IF(A50="","",VLOOKUP(A50,'予選 Ｐ'!$Y$5:$AE$100,5,0))</f>
        <v>4</v>
      </c>
      <c r="H50" s="138">
        <f>IF(A50="","",VLOOKUP(A50,'予選 Ｐ'!$Y$5:$AE$100,6,0))</f>
        <v>20</v>
      </c>
      <c r="I50" s="138">
        <f>IF(A50="","",VLOOKUP(A50,'予選 Ｐ'!$Y$5:$AE$100,7,0))</f>
        <v>-16</v>
      </c>
      <c r="J50" s="147">
        <f>IF(A50="","",VLOOKUP(A50,'予選 Ｐ'!$Y$5:$AH$100,9,0))</f>
        <v>0</v>
      </c>
      <c r="K50" s="121" t="str">
        <f t="shared" si="0"/>
        <v>細川　唯人</v>
      </c>
      <c r="L50" s="121">
        <f t="shared" si="1"/>
        <v>45</v>
      </c>
      <c r="M50" s="121" t="str">
        <f t="shared" si="2"/>
        <v>速星中学校</v>
      </c>
    </row>
    <row r="51" spans="1:13" s="121" customFormat="1" ht="12">
      <c r="A51" s="136">
        <f>名簿!A50</f>
        <v>46</v>
      </c>
      <c r="B51" s="137" t="str">
        <f>IF(A51="","",VLOOKUP(A51,'予選 Ｐ'!$D$5:$F$100,2,0))</f>
        <v>はしまモア</v>
      </c>
      <c r="C51" s="136" t="str">
        <f>IF(A51="","",VLOOKUP(A51,'予選 Ｐ'!$D$5:$F$100,3,0))</f>
        <v>今井　大河</v>
      </c>
      <c r="D51" s="138">
        <f>IF(A51="","",VLOOKUP(A51,'予選 Ｐ'!$Y$5:$AE$100,2,0))</f>
        <v>4</v>
      </c>
      <c r="E51" s="138">
        <f>IF(A51="","",VLOOKUP(A51,'予選 Ｐ'!$Y$5:$AE$100,3,0))</f>
        <v>0</v>
      </c>
      <c r="F51" s="138">
        <f>IF(A51="","",VLOOKUP(A51,'予選 Ｐ'!$Y$5:$AE$100,4,0))</f>
        <v>0</v>
      </c>
      <c r="G51" s="138">
        <f>IF(A51="","",VLOOKUP(A51,'予選 Ｐ'!$Y$5:$AE$100,5,0))</f>
        <v>3</v>
      </c>
      <c r="H51" s="138">
        <f>IF(A51="","",VLOOKUP(A51,'予選 Ｐ'!$Y$5:$AE$100,6,0))</f>
        <v>20</v>
      </c>
      <c r="I51" s="138">
        <f>IF(A51="","",VLOOKUP(A51,'予選 Ｐ'!$Y$5:$AE$100,7,0))</f>
        <v>-17</v>
      </c>
      <c r="J51" s="147">
        <f>IF(A51="","",VLOOKUP(A51,'予選 Ｐ'!$Y$5:$AH$100,9,0))</f>
        <v>0</v>
      </c>
      <c r="K51" s="121" t="str">
        <f t="shared" si="0"/>
        <v>今井　大河</v>
      </c>
      <c r="L51" s="121">
        <f t="shared" si="1"/>
        <v>46</v>
      </c>
      <c r="M51" s="121" t="str">
        <f t="shared" si="2"/>
        <v>はしまモア</v>
      </c>
    </row>
    <row r="52" spans="1:13" s="121" customFormat="1" ht="12">
      <c r="A52" s="136">
        <f>名簿!A51</f>
        <v>47</v>
      </c>
      <c r="B52" s="137" t="str">
        <f>IF(A52="","",VLOOKUP(A52,'予選 Ｐ'!$D$5:$F$100,2,0))</f>
        <v>はしまモア</v>
      </c>
      <c r="C52" s="136" t="str">
        <f>IF(A52="","",VLOOKUP(A52,'予選 Ｐ'!$D$5:$F$100,3,0))</f>
        <v>木曽　瑞己</v>
      </c>
      <c r="D52" s="138">
        <f>IF(A52="","",VLOOKUP(A52,'予選 Ｐ'!$Y$5:$AE$100,2,0))</f>
        <v>4</v>
      </c>
      <c r="E52" s="138">
        <f>IF(A52="","",VLOOKUP(A52,'予選 Ｐ'!$Y$5:$AE$100,3,0))</f>
        <v>0</v>
      </c>
      <c r="F52" s="138">
        <f>IF(A52="","",VLOOKUP(A52,'予選 Ｐ'!$Y$5:$AE$100,4,0))</f>
        <v>0</v>
      </c>
      <c r="G52" s="138">
        <f>IF(A52="","",VLOOKUP(A52,'予選 Ｐ'!$Y$5:$AE$100,5,0))</f>
        <v>1</v>
      </c>
      <c r="H52" s="138">
        <f>IF(A52="","",VLOOKUP(A52,'予選 Ｐ'!$Y$5:$AE$100,6,0))</f>
        <v>20</v>
      </c>
      <c r="I52" s="138">
        <f>IF(A52="","",VLOOKUP(A52,'予選 Ｐ'!$Y$5:$AE$100,7,0))</f>
        <v>-19</v>
      </c>
      <c r="J52" s="147">
        <f>IF(A52="","",VLOOKUP(A52,'予選 Ｐ'!$Y$5:$AH$100,9,0))</f>
        <v>0</v>
      </c>
      <c r="K52" s="121" t="str">
        <f t="shared" si="0"/>
        <v>木曽　瑞己</v>
      </c>
      <c r="L52" s="121">
        <f t="shared" si="1"/>
        <v>47</v>
      </c>
      <c r="M52" s="121" t="str">
        <f t="shared" si="2"/>
        <v>はしまモア</v>
      </c>
    </row>
    <row r="53" spans="1:13" s="121" customFormat="1" ht="12">
      <c r="A53" s="136">
        <f>名簿!A52</f>
        <v>48</v>
      </c>
      <c r="B53" s="137" t="str">
        <f>IF(A53="","",VLOOKUP(A53,'予選 Ｐ'!$D$5:$F$100,2,0))</f>
        <v>速星中学校</v>
      </c>
      <c r="C53" s="136" t="str">
        <f>IF(A53="","",VLOOKUP(A53,'予選 Ｐ'!$D$5:$F$100,3,0))</f>
        <v>廣野　惇奈</v>
      </c>
      <c r="D53" s="138">
        <f>IF(A53="","",VLOOKUP(A53,'予選 Ｐ'!$Y$5:$AE$100,2,0))</f>
        <v>5</v>
      </c>
      <c r="E53" s="138">
        <f>IF(A53="","",VLOOKUP(A53,'予選 Ｐ'!$Y$5:$AE$100,3,0))</f>
        <v>0</v>
      </c>
      <c r="F53" s="138">
        <f>IF(A53="","",VLOOKUP(A53,'予選 Ｐ'!$Y$5:$AE$100,4,0))</f>
        <v>0</v>
      </c>
      <c r="G53" s="138">
        <f>IF(A53="","",VLOOKUP(A53,'予選 Ｐ'!$Y$5:$AE$100,5,0))</f>
        <v>4</v>
      </c>
      <c r="H53" s="138">
        <f>IF(A53="","",VLOOKUP(A53,'予選 Ｐ'!$Y$5:$AE$100,6,0))</f>
        <v>25</v>
      </c>
      <c r="I53" s="138">
        <f>IF(A53="","",VLOOKUP(A53,'予選 Ｐ'!$Y$5:$AE$100,7,0))</f>
        <v>-21</v>
      </c>
      <c r="J53" s="147">
        <f>IF(A53="","",VLOOKUP(A53,'予選 Ｐ'!$Y$5:$AH$100,9,0))</f>
        <v>0</v>
      </c>
      <c r="K53" s="121" t="str">
        <f t="shared" si="0"/>
        <v>廣野　惇奈</v>
      </c>
      <c r="L53" s="121">
        <f t="shared" si="1"/>
        <v>48</v>
      </c>
      <c r="M53" s="121" t="str">
        <f t="shared" si="2"/>
        <v>速星中学校</v>
      </c>
    </row>
    <row r="54" spans="1:13" s="121" customFormat="1" ht="12">
      <c r="A54" s="136">
        <f>名簿!A53</f>
        <v>49</v>
      </c>
      <c r="B54" s="137" t="str">
        <f>IF(A54="","",VLOOKUP(A54,'予選 Ｐ'!$D$5:$F$100,2,0))</f>
        <v>武生二中</v>
      </c>
      <c r="C54" s="136" t="str">
        <f>IF(A54="","",VLOOKUP(A54,'予選 Ｐ'!$D$5:$F$100,3,0))</f>
        <v>山本　雄飛</v>
      </c>
      <c r="D54" s="138">
        <f>IF(A54="","",VLOOKUP(A54,'予選 Ｐ'!$Y$5:$AE$100,2,0))</f>
        <v>5</v>
      </c>
      <c r="E54" s="138">
        <f>IF(A54="","",VLOOKUP(A54,'予選 Ｐ'!$Y$5:$AE$100,3,0))</f>
        <v>0</v>
      </c>
      <c r="F54" s="138">
        <f>IF(A54="","",VLOOKUP(A54,'予選 Ｐ'!$Y$5:$AE$100,4,0))</f>
        <v>0</v>
      </c>
      <c r="G54" s="138">
        <f>IF(A54="","",VLOOKUP(A54,'予選 Ｐ'!$Y$5:$AE$100,5,0))</f>
        <v>4</v>
      </c>
      <c r="H54" s="138">
        <f>IF(A54="","",VLOOKUP(A54,'予選 Ｐ'!$Y$5:$AE$100,6,0))</f>
        <v>25</v>
      </c>
      <c r="I54" s="138">
        <f>IF(A54="","",VLOOKUP(A54,'予選 Ｐ'!$Y$5:$AE$100,7,0))</f>
        <v>-21</v>
      </c>
      <c r="J54" s="147">
        <f>IF(A54="","",VLOOKUP(A54,'予選 Ｐ'!$Y$5:$AH$100,9,0))</f>
        <v>0</v>
      </c>
      <c r="K54" s="121" t="str">
        <f t="shared" si="0"/>
        <v>山本　雄飛</v>
      </c>
      <c r="L54" s="121">
        <f t="shared" si="1"/>
        <v>49</v>
      </c>
      <c r="M54" s="121" t="str">
        <f t="shared" si="2"/>
        <v>武生二中</v>
      </c>
    </row>
    <row r="55" spans="1:13" s="121" customFormat="1" ht="12">
      <c r="A55" s="136"/>
      <c r="B55" s="137"/>
      <c r="C55" s="136"/>
      <c r="D55" s="138"/>
      <c r="E55" s="138"/>
      <c r="F55" s="138"/>
      <c r="G55" s="138"/>
      <c r="H55" s="138"/>
      <c r="I55" s="138"/>
      <c r="J55" s="147"/>
    </row>
    <row r="56" spans="1:13" s="121" customFormat="1" ht="12">
      <c r="A56" s="136" t="str">
        <f>名簿!A55</f>
        <v/>
      </c>
      <c r="B56" s="137" t="str">
        <f>IF(A56="","",VLOOKUP(A56,'予選 Ｐ'!$D$5:$F$100,2,0))</f>
        <v/>
      </c>
      <c r="C56" s="136" t="str">
        <f>IF(A56="","",VLOOKUP(A56,'予選 Ｐ'!$D$5:$F$100,3,0))</f>
        <v/>
      </c>
      <c r="D56" s="138" t="str">
        <f>IF(A56="","",VLOOKUP(A56,'予選 Ｐ'!$Y$5:$AE$100,2,0))</f>
        <v/>
      </c>
      <c r="E56" s="138" t="str">
        <f>IF(A56="","",VLOOKUP(A56,'予選 Ｐ'!$Y$5:$AE$100,3,0))</f>
        <v/>
      </c>
      <c r="F56" s="138" t="str">
        <f>IF(A56="","",VLOOKUP(A56,'予選 Ｐ'!$Y$5:$AE$100,4,0))</f>
        <v/>
      </c>
      <c r="G56" s="138" t="str">
        <f>IF(A56="","",VLOOKUP(A56,'予選 Ｐ'!$Y$5:$AE$100,5,0))</f>
        <v/>
      </c>
      <c r="H56" s="138" t="str">
        <f>IF(A56="","",VLOOKUP(A56,'予選 Ｐ'!$Y$5:$AE$100,6,0))</f>
        <v/>
      </c>
      <c r="I56" s="138" t="str">
        <f>IF(A56="","",VLOOKUP(A56,'予選 Ｐ'!$Y$5:$AE$100,7,0))</f>
        <v/>
      </c>
      <c r="J56" s="147" t="str">
        <f>IF(A56="","",VLOOKUP(A56,'予選 Ｐ'!$Y$5:$AH$100,9,0))</f>
        <v/>
      </c>
      <c r="K56" s="121" t="str">
        <f t="shared" si="0"/>
        <v/>
      </c>
      <c r="L56" s="121" t="str">
        <f t="shared" si="1"/>
        <v/>
      </c>
      <c r="M56" s="121" t="str">
        <f t="shared" si="2"/>
        <v/>
      </c>
    </row>
    <row r="57" spans="1:13" s="121" customFormat="1" ht="12">
      <c r="A57" s="136" t="str">
        <f>名簿!A56</f>
        <v/>
      </c>
      <c r="B57" s="137" t="str">
        <f>IF(A57="","",VLOOKUP(A57,'予選 Ｐ'!$D$5:$F$100,2,0))</f>
        <v/>
      </c>
      <c r="C57" s="136" t="str">
        <f>IF(A57="","",VLOOKUP(A57,'予選 Ｐ'!$D$5:$F$100,3,0))</f>
        <v/>
      </c>
      <c r="D57" s="138" t="str">
        <f>IF(A57="","",VLOOKUP(A57,'予選 Ｐ'!$Y$5:$AE$100,2,0))</f>
        <v/>
      </c>
      <c r="E57" s="138" t="str">
        <f>IF(A57="","",VLOOKUP(A57,'予選 Ｐ'!$Y$5:$AE$100,3,0))</f>
        <v/>
      </c>
      <c r="F57" s="138" t="str">
        <f>IF(A57="","",VLOOKUP(A57,'予選 Ｐ'!$Y$5:$AE$100,4,0))</f>
        <v/>
      </c>
      <c r="G57" s="138" t="str">
        <f>IF(A57="","",VLOOKUP(A57,'予選 Ｐ'!$Y$5:$AE$100,5,0))</f>
        <v/>
      </c>
      <c r="H57" s="138" t="str">
        <f>IF(A57="","",VLOOKUP(A57,'予選 Ｐ'!$Y$5:$AE$100,6,0))</f>
        <v/>
      </c>
      <c r="I57" s="138" t="str">
        <f>IF(A57="","",VLOOKUP(A57,'予選 Ｐ'!$Y$5:$AE$100,7,0))</f>
        <v/>
      </c>
      <c r="J57" s="147" t="str">
        <f>IF(A57="","",VLOOKUP(A57,'予選 Ｐ'!$Y$5:$AH$100,9,0))</f>
        <v/>
      </c>
      <c r="K57" s="121" t="str">
        <f t="shared" si="0"/>
        <v/>
      </c>
      <c r="L57" s="121" t="str">
        <f t="shared" si="1"/>
        <v/>
      </c>
      <c r="M57" s="121" t="str">
        <f t="shared" si="2"/>
        <v/>
      </c>
    </row>
    <row r="58" spans="1:13" s="121" customFormat="1" ht="12">
      <c r="A58" s="136" t="str">
        <f>名簿!A57</f>
        <v/>
      </c>
      <c r="B58" s="137" t="str">
        <f>IF(A58="","",VLOOKUP(A58,'予選 Ｐ'!$D$5:$F$100,2,0))</f>
        <v/>
      </c>
      <c r="C58" s="136" t="str">
        <f>IF(A58="","",VLOOKUP(A58,'予選 Ｐ'!$D$5:$F$100,3,0))</f>
        <v/>
      </c>
      <c r="D58" s="138" t="str">
        <f>IF(A58="","",VLOOKUP(A58,'予選 Ｐ'!$Y$5:$AE$100,2,0))</f>
        <v/>
      </c>
      <c r="E58" s="138" t="str">
        <f>IF(A58="","",VLOOKUP(A58,'予選 Ｐ'!$Y$5:$AE$100,3,0))</f>
        <v/>
      </c>
      <c r="F58" s="138" t="str">
        <f>IF(A58="","",VLOOKUP(A58,'予選 Ｐ'!$Y$5:$AE$100,4,0))</f>
        <v/>
      </c>
      <c r="G58" s="138" t="str">
        <f>IF(A58="","",VLOOKUP(A58,'予選 Ｐ'!$Y$5:$AE$100,5,0))</f>
        <v/>
      </c>
      <c r="H58" s="138" t="str">
        <f>IF(A58="","",VLOOKUP(A58,'予選 Ｐ'!$Y$5:$AE$100,6,0))</f>
        <v/>
      </c>
      <c r="I58" s="138" t="str">
        <f>IF(A58="","",VLOOKUP(A58,'予選 Ｐ'!$Y$5:$AE$100,7,0))</f>
        <v/>
      </c>
      <c r="J58" s="147" t="str">
        <f>IF(A58="","",VLOOKUP(A58,'予選 Ｐ'!$Y$5:$AH$100,9,0))</f>
        <v/>
      </c>
      <c r="K58" s="121" t="str">
        <f t="shared" si="0"/>
        <v/>
      </c>
      <c r="L58" s="121" t="str">
        <f t="shared" si="1"/>
        <v/>
      </c>
      <c r="M58" s="121" t="str">
        <f t="shared" si="2"/>
        <v/>
      </c>
    </row>
    <row r="59" spans="1:13" s="121" customFormat="1" ht="12">
      <c r="A59" s="136" t="str">
        <f>名簿!A58</f>
        <v/>
      </c>
      <c r="B59" s="137" t="str">
        <f>IF(A59="","",VLOOKUP(A59,'予選 Ｐ'!$D$5:$F$100,2,0))</f>
        <v/>
      </c>
      <c r="C59" s="136" t="str">
        <f>IF(A59="","",VLOOKUP(A59,'予選 Ｐ'!$D$5:$F$100,3,0))</f>
        <v/>
      </c>
      <c r="D59" s="138" t="str">
        <f>IF(A59="","",VLOOKUP(A59,'予選 Ｐ'!$Y$5:$AE$100,2,0))</f>
        <v/>
      </c>
      <c r="E59" s="138" t="str">
        <f>IF(A59="","",VLOOKUP(A59,'予選 Ｐ'!$Y$5:$AE$100,3,0))</f>
        <v/>
      </c>
      <c r="F59" s="138" t="str">
        <f>IF(A59="","",VLOOKUP(A59,'予選 Ｐ'!$Y$5:$AE$100,4,0))</f>
        <v/>
      </c>
      <c r="G59" s="138" t="str">
        <f>IF(A59="","",VLOOKUP(A59,'予選 Ｐ'!$Y$5:$AE$100,5,0))</f>
        <v/>
      </c>
      <c r="H59" s="138" t="str">
        <f>IF(A59="","",VLOOKUP(A59,'予選 Ｐ'!$Y$5:$AE$100,6,0))</f>
        <v/>
      </c>
      <c r="I59" s="138" t="str">
        <f>IF(A59="","",VLOOKUP(A59,'予選 Ｐ'!$Y$5:$AE$100,7,0))</f>
        <v/>
      </c>
      <c r="J59" s="147" t="str">
        <f>IF(A59="","",VLOOKUP(A59,'予選 Ｐ'!$Y$5:$AH$100,9,0))</f>
        <v/>
      </c>
      <c r="K59" s="121" t="str">
        <f t="shared" si="0"/>
        <v/>
      </c>
      <c r="L59" s="121" t="str">
        <f t="shared" si="1"/>
        <v/>
      </c>
      <c r="M59" s="121" t="str">
        <f t="shared" si="2"/>
        <v/>
      </c>
    </row>
    <row r="60" spans="1:13" s="121" customFormat="1" ht="12">
      <c r="A60" s="136" t="str">
        <f>名簿!A59</f>
        <v/>
      </c>
      <c r="B60" s="137" t="str">
        <f>IF(A60="","",VLOOKUP(A60,'予選 Ｐ'!$D$5:$F$100,2,0))</f>
        <v/>
      </c>
      <c r="C60" s="136" t="str">
        <f>IF(A60="","",VLOOKUP(A60,'予選 Ｐ'!$D$5:$F$100,3,0))</f>
        <v/>
      </c>
      <c r="D60" s="138" t="str">
        <f>IF(A60="","",VLOOKUP(A60,'予選 Ｐ'!$Y$5:$AE$100,2,0))</f>
        <v/>
      </c>
      <c r="E60" s="138" t="str">
        <f>IF(A60="","",VLOOKUP(A60,'予選 Ｐ'!$Y$5:$AE$100,3,0))</f>
        <v/>
      </c>
      <c r="F60" s="138" t="str">
        <f>IF(A60="","",VLOOKUP(A60,'予選 Ｐ'!$Y$5:$AE$100,4,0))</f>
        <v/>
      </c>
      <c r="G60" s="138" t="str">
        <f>IF(A60="","",VLOOKUP(A60,'予選 Ｐ'!$Y$5:$AE$100,5,0))</f>
        <v/>
      </c>
      <c r="H60" s="138" t="str">
        <f>IF(A60="","",VLOOKUP(A60,'予選 Ｐ'!$Y$5:$AE$100,6,0))</f>
        <v/>
      </c>
      <c r="I60" s="138" t="str">
        <f>IF(A60="","",VLOOKUP(A60,'予選 Ｐ'!$Y$5:$AE$100,7,0))</f>
        <v/>
      </c>
      <c r="J60" s="147" t="str">
        <f>IF(A60="","",VLOOKUP(A60,'予選 Ｐ'!$Y$5:$AH$100,9,0))</f>
        <v/>
      </c>
      <c r="K60" s="121" t="str">
        <f t="shared" si="0"/>
        <v/>
      </c>
      <c r="L60" s="121" t="str">
        <f t="shared" si="1"/>
        <v/>
      </c>
      <c r="M60" s="121" t="str">
        <f t="shared" si="2"/>
        <v/>
      </c>
    </row>
    <row r="61" spans="1:13" s="121" customFormat="1" ht="12">
      <c r="A61" s="136" t="str">
        <f>名簿!A60</f>
        <v/>
      </c>
      <c r="B61" s="137" t="str">
        <f>IF(A61="","",VLOOKUP(A61,'予選 Ｐ'!$D$5:$F$100,2,0))</f>
        <v/>
      </c>
      <c r="C61" s="136" t="str">
        <f>IF(A61="","",VLOOKUP(A61,'予選 Ｐ'!$D$5:$F$100,3,0))</f>
        <v/>
      </c>
      <c r="D61" s="138" t="str">
        <f>IF(A61="","",VLOOKUP(A61,'予選 Ｐ'!$Y$5:$AE$100,2,0))</f>
        <v/>
      </c>
      <c r="E61" s="138" t="str">
        <f>IF(A61="","",VLOOKUP(A61,'予選 Ｐ'!$Y$5:$AE$100,3,0))</f>
        <v/>
      </c>
      <c r="F61" s="138" t="str">
        <f>IF(A61="","",VLOOKUP(A61,'予選 Ｐ'!$Y$5:$AE$100,4,0))</f>
        <v/>
      </c>
      <c r="G61" s="138" t="str">
        <f>IF(A61="","",VLOOKUP(A61,'予選 Ｐ'!$Y$5:$AE$100,5,0))</f>
        <v/>
      </c>
      <c r="H61" s="138" t="str">
        <f>IF(A61="","",VLOOKUP(A61,'予選 Ｐ'!$Y$5:$AE$100,6,0))</f>
        <v/>
      </c>
      <c r="I61" s="138" t="str">
        <f>IF(A61="","",VLOOKUP(A61,'予選 Ｐ'!$Y$5:$AE$100,7,0))</f>
        <v/>
      </c>
      <c r="J61" s="147" t="str">
        <f>IF(A61="","",VLOOKUP(A61,'予選 Ｐ'!$Y$5:$AH$100,9,0))</f>
        <v/>
      </c>
      <c r="K61" s="121" t="str">
        <f t="shared" si="0"/>
        <v/>
      </c>
      <c r="L61" s="121" t="str">
        <f t="shared" si="1"/>
        <v/>
      </c>
      <c r="M61" s="121" t="str">
        <f t="shared" si="2"/>
        <v/>
      </c>
    </row>
    <row r="62" spans="1:13" s="121" customFormat="1" ht="12">
      <c r="A62" s="136" t="str">
        <f>名簿!A61</f>
        <v/>
      </c>
      <c r="B62" s="137" t="str">
        <f>IF(A62="","",VLOOKUP(A62,'予選 Ｐ'!$D$5:$F$100,2,0))</f>
        <v/>
      </c>
      <c r="C62" s="136" t="str">
        <f>IF(A62="","",VLOOKUP(A62,'予選 Ｐ'!$D$5:$F$100,3,0))</f>
        <v/>
      </c>
      <c r="D62" s="138" t="str">
        <f>IF(A62="","",VLOOKUP(A62,'予選 Ｐ'!$Y$5:$AE$100,2,0))</f>
        <v/>
      </c>
      <c r="E62" s="138" t="str">
        <f>IF(A62="","",VLOOKUP(A62,'予選 Ｐ'!$Y$5:$AE$100,3,0))</f>
        <v/>
      </c>
      <c r="F62" s="138" t="str">
        <f>IF(A62="","",VLOOKUP(A62,'予選 Ｐ'!$Y$5:$AE$100,4,0))</f>
        <v/>
      </c>
      <c r="G62" s="138" t="str">
        <f>IF(A62="","",VLOOKUP(A62,'予選 Ｐ'!$Y$5:$AE$100,5,0))</f>
        <v/>
      </c>
      <c r="H62" s="138" t="str">
        <f>IF(A62="","",VLOOKUP(A62,'予選 Ｐ'!$Y$5:$AE$100,6,0))</f>
        <v/>
      </c>
      <c r="I62" s="138" t="str">
        <f>IF(A62="","",VLOOKUP(A62,'予選 Ｐ'!$Y$5:$AE$100,7,0))</f>
        <v/>
      </c>
      <c r="J62" s="147" t="str">
        <f>IF(A62="","",VLOOKUP(A62,'予選 Ｐ'!$Y$5:$AH$100,9,0))</f>
        <v/>
      </c>
      <c r="K62" s="121" t="str">
        <f t="shared" si="0"/>
        <v/>
      </c>
      <c r="L62" s="121" t="str">
        <f t="shared" si="1"/>
        <v/>
      </c>
      <c r="M62" s="121" t="str">
        <f t="shared" si="2"/>
        <v/>
      </c>
    </row>
    <row r="63" spans="1:13" s="121" customFormat="1" ht="12">
      <c r="A63" s="136" t="str">
        <f>名簿!A62</f>
        <v/>
      </c>
      <c r="B63" s="137" t="str">
        <f>IF(A63="","",VLOOKUP(A63,'予選 Ｐ'!$D$5:$F$100,2,0))</f>
        <v/>
      </c>
      <c r="C63" s="136" t="str">
        <f>IF(A63="","",VLOOKUP(A63,'予選 Ｐ'!$D$5:$F$100,3,0))</f>
        <v/>
      </c>
      <c r="D63" s="138" t="str">
        <f>IF(A63="","",VLOOKUP(A63,'予選 Ｐ'!$Y$5:$AE$100,2,0))</f>
        <v/>
      </c>
      <c r="E63" s="138" t="str">
        <f>IF(A63="","",VLOOKUP(A63,'予選 Ｐ'!$Y$5:$AE$100,3,0))</f>
        <v/>
      </c>
      <c r="F63" s="138" t="str">
        <f>IF(A63="","",VLOOKUP(A63,'予選 Ｐ'!$Y$5:$AE$100,4,0))</f>
        <v/>
      </c>
      <c r="G63" s="138" t="str">
        <f>IF(A63="","",VLOOKUP(A63,'予選 Ｐ'!$Y$5:$AE$100,5,0))</f>
        <v/>
      </c>
      <c r="H63" s="138" t="str">
        <f>IF(A63="","",VLOOKUP(A63,'予選 Ｐ'!$Y$5:$AE$100,6,0))</f>
        <v/>
      </c>
      <c r="I63" s="138" t="str">
        <f>IF(A63="","",VLOOKUP(A63,'予選 Ｐ'!$Y$5:$AE$100,7,0))</f>
        <v/>
      </c>
      <c r="J63" s="147" t="str">
        <f>IF(A63="","",VLOOKUP(A63,'予選 Ｐ'!$Y$5:$AH$100,9,0))</f>
        <v/>
      </c>
      <c r="K63" s="121" t="str">
        <f t="shared" si="0"/>
        <v/>
      </c>
      <c r="L63" s="121" t="str">
        <f t="shared" si="1"/>
        <v/>
      </c>
      <c r="M63" s="121" t="str">
        <f t="shared" si="2"/>
        <v/>
      </c>
    </row>
    <row r="64" spans="1:13" s="121" customFormat="1" ht="12">
      <c r="A64" s="136" t="str">
        <f>名簿!A63</f>
        <v/>
      </c>
      <c r="B64" s="137" t="str">
        <f>IF(A64="","",VLOOKUP(A64,'予選 Ｐ'!$D$5:$F$100,2,0))</f>
        <v/>
      </c>
      <c r="C64" s="136" t="str">
        <f>IF(A64="","",VLOOKUP(A64,'予選 Ｐ'!$D$5:$F$100,3,0))</f>
        <v/>
      </c>
      <c r="D64" s="138" t="str">
        <f>IF(A64="","",VLOOKUP(A64,'予選 Ｐ'!$Y$5:$AE$100,2,0))</f>
        <v/>
      </c>
      <c r="E64" s="138" t="str">
        <f>IF(A64="","",VLOOKUP(A64,'予選 Ｐ'!$Y$5:$AE$100,3,0))</f>
        <v/>
      </c>
      <c r="F64" s="138" t="str">
        <f>IF(A64="","",VLOOKUP(A64,'予選 Ｐ'!$Y$5:$AE$100,4,0))</f>
        <v/>
      </c>
      <c r="G64" s="138" t="str">
        <f>IF(A64="","",VLOOKUP(A64,'予選 Ｐ'!$Y$5:$AE$100,5,0))</f>
        <v/>
      </c>
      <c r="H64" s="138" t="str">
        <f>IF(A64="","",VLOOKUP(A64,'予選 Ｐ'!$Y$5:$AE$100,6,0))</f>
        <v/>
      </c>
      <c r="I64" s="138" t="str">
        <f>IF(A64="","",VLOOKUP(A64,'予選 Ｐ'!$Y$5:$AE$100,7,0))</f>
        <v/>
      </c>
      <c r="J64" s="147" t="str">
        <f>IF(A64="","",VLOOKUP(A64,'予選 Ｐ'!$Y$5:$AH$100,9,0))</f>
        <v/>
      </c>
      <c r="K64" s="121" t="str">
        <f t="shared" si="0"/>
        <v/>
      </c>
      <c r="L64" s="121" t="str">
        <f t="shared" si="1"/>
        <v/>
      </c>
      <c r="M64" s="121" t="str">
        <f t="shared" si="2"/>
        <v/>
      </c>
    </row>
    <row r="65" spans="1:13" s="121" customFormat="1" ht="12">
      <c r="A65" s="136" t="str">
        <f>名簿!A64</f>
        <v/>
      </c>
      <c r="B65" s="137" t="str">
        <f>IF(A65="","",VLOOKUP(A65,'予選 Ｐ'!$D$5:$F$100,2,0))</f>
        <v/>
      </c>
      <c r="C65" s="136" t="str">
        <f>IF(A65="","",VLOOKUP(A65,'予選 Ｐ'!$D$5:$F$100,3,0))</f>
        <v/>
      </c>
      <c r="D65" s="138" t="str">
        <f>IF(A65="","",VLOOKUP(A65,'予選 Ｐ'!$Y$5:$AE$100,2,0))</f>
        <v/>
      </c>
      <c r="E65" s="138" t="str">
        <f>IF(A65="","",VLOOKUP(A65,'予選 Ｐ'!$Y$5:$AE$100,3,0))</f>
        <v/>
      </c>
      <c r="F65" s="138" t="str">
        <f>IF(A65="","",VLOOKUP(A65,'予選 Ｐ'!$Y$5:$AE$100,4,0))</f>
        <v/>
      </c>
      <c r="G65" s="138" t="str">
        <f>IF(A65="","",VLOOKUP(A65,'予選 Ｐ'!$Y$5:$AE$100,5,0))</f>
        <v/>
      </c>
      <c r="H65" s="138" t="str">
        <f>IF(A65="","",VLOOKUP(A65,'予選 Ｐ'!$Y$5:$AE$100,6,0))</f>
        <v/>
      </c>
      <c r="I65" s="138" t="str">
        <f>IF(A65="","",VLOOKUP(A65,'予選 Ｐ'!$Y$5:$AE$100,7,0))</f>
        <v/>
      </c>
      <c r="J65" s="147" t="str">
        <f>IF(A65="","",VLOOKUP(A65,'予選 Ｐ'!$Y$5:$AH$100,9,0))</f>
        <v/>
      </c>
      <c r="K65" s="121" t="str">
        <f t="shared" si="0"/>
        <v/>
      </c>
      <c r="L65" s="121" t="str">
        <f t="shared" si="1"/>
        <v/>
      </c>
      <c r="M65" s="121" t="str">
        <f t="shared" si="2"/>
        <v/>
      </c>
    </row>
    <row r="66" spans="1:13" s="121" customFormat="1" ht="12">
      <c r="A66" s="136" t="str">
        <f>名簿!A65</f>
        <v/>
      </c>
      <c r="B66" s="137" t="str">
        <f>IF(A66="","",VLOOKUP(A66,'予選 Ｐ'!$D$5:$F$100,2,0))</f>
        <v/>
      </c>
      <c r="C66" s="136" t="str">
        <f>IF(A66="","",VLOOKUP(A66,'予選 Ｐ'!$D$5:$F$100,3,0))</f>
        <v/>
      </c>
      <c r="D66" s="138" t="str">
        <f>IF(A66="","",VLOOKUP(A66,'予選 Ｐ'!$Y$5:$AE$100,2,0))</f>
        <v/>
      </c>
      <c r="E66" s="138" t="str">
        <f>IF(A66="","",VLOOKUP(A66,'予選 Ｐ'!$Y$5:$AE$100,3,0))</f>
        <v/>
      </c>
      <c r="F66" s="138" t="str">
        <f>IF(A66="","",VLOOKUP(A66,'予選 Ｐ'!$Y$5:$AE$100,4,0))</f>
        <v/>
      </c>
      <c r="G66" s="138" t="str">
        <f>IF(A66="","",VLOOKUP(A66,'予選 Ｐ'!$Y$5:$AE$100,5,0))</f>
        <v/>
      </c>
      <c r="H66" s="138" t="str">
        <f>IF(A66="","",VLOOKUP(A66,'予選 Ｐ'!$Y$5:$AE$100,6,0))</f>
        <v/>
      </c>
      <c r="I66" s="138" t="str">
        <f>IF(A66="","",VLOOKUP(A66,'予選 Ｐ'!$Y$5:$AE$100,7,0))</f>
        <v/>
      </c>
      <c r="J66" s="147" t="str">
        <f>IF(A66="","",VLOOKUP(A66,'予選 Ｐ'!$Y$5:$AH$100,9,0))</f>
        <v/>
      </c>
      <c r="K66" s="121" t="str">
        <f t="shared" si="0"/>
        <v/>
      </c>
      <c r="L66" s="121" t="str">
        <f t="shared" si="1"/>
        <v/>
      </c>
      <c r="M66" s="121" t="str">
        <f t="shared" si="2"/>
        <v/>
      </c>
    </row>
    <row r="67" spans="1:13" s="121" customFormat="1" ht="12">
      <c r="A67" s="136" t="str">
        <f>名簿!A66</f>
        <v/>
      </c>
      <c r="B67" s="137" t="str">
        <f>IF(A67="","",VLOOKUP(A67,'予選 Ｐ'!$D$5:$F$100,2,0))</f>
        <v/>
      </c>
      <c r="C67" s="136" t="str">
        <f>IF(A67="","",VLOOKUP(A67,'予選 Ｐ'!$D$5:$F$100,3,0))</f>
        <v/>
      </c>
      <c r="D67" s="138" t="str">
        <f>IF(A67="","",VLOOKUP(A67,'予選 Ｐ'!$Y$5:$AE$100,2,0))</f>
        <v/>
      </c>
      <c r="E67" s="138" t="str">
        <f>IF(A67="","",VLOOKUP(A67,'予選 Ｐ'!$Y$5:$AE$100,3,0))</f>
        <v/>
      </c>
      <c r="F67" s="138" t="str">
        <f>IF(A67="","",VLOOKUP(A67,'予選 Ｐ'!$Y$5:$AE$100,4,0))</f>
        <v/>
      </c>
      <c r="G67" s="138" t="str">
        <f>IF(A67="","",VLOOKUP(A67,'予選 Ｐ'!$Y$5:$AE$100,5,0))</f>
        <v/>
      </c>
      <c r="H67" s="138" t="str">
        <f>IF(A67="","",VLOOKUP(A67,'予選 Ｐ'!$Y$5:$AE$100,6,0))</f>
        <v/>
      </c>
      <c r="I67" s="138" t="str">
        <f>IF(A67="","",VLOOKUP(A67,'予選 Ｐ'!$Y$5:$AE$100,7,0))</f>
        <v/>
      </c>
      <c r="J67" s="147" t="str">
        <f>IF(A67="","",VLOOKUP(A67,'予選 Ｐ'!$Y$5:$AH$100,9,0))</f>
        <v/>
      </c>
      <c r="K67" s="121" t="str">
        <f t="shared" si="0"/>
        <v/>
      </c>
      <c r="L67" s="121" t="str">
        <f t="shared" si="1"/>
        <v/>
      </c>
      <c r="M67" s="121" t="str">
        <f t="shared" si="2"/>
        <v/>
      </c>
    </row>
    <row r="68" spans="1:13" s="121" customFormat="1" ht="12">
      <c r="A68" s="136" t="str">
        <f>名簿!A67</f>
        <v/>
      </c>
      <c r="B68" s="137" t="str">
        <f>IF(A68="","",VLOOKUP(A68,'予選 Ｐ'!$D$5:$F$100,2,0))</f>
        <v/>
      </c>
      <c r="C68" s="136" t="str">
        <f>IF(A68="","",VLOOKUP(A68,'予選 Ｐ'!$D$5:$F$100,3,0))</f>
        <v/>
      </c>
      <c r="D68" s="138" t="str">
        <f>IF(A68="","",VLOOKUP(A68,'予選 Ｐ'!$Y$5:$AE$100,2,0))</f>
        <v/>
      </c>
      <c r="E68" s="138" t="str">
        <f>IF(A68="","",VLOOKUP(A68,'予選 Ｐ'!$Y$5:$AE$100,3,0))</f>
        <v/>
      </c>
      <c r="F68" s="138" t="str">
        <f>IF(A68="","",VLOOKUP(A68,'予選 Ｐ'!$Y$5:$AE$100,4,0))</f>
        <v/>
      </c>
      <c r="G68" s="138" t="str">
        <f>IF(A68="","",VLOOKUP(A68,'予選 Ｐ'!$Y$5:$AE$100,5,0))</f>
        <v/>
      </c>
      <c r="H68" s="138" t="str">
        <f>IF(A68="","",VLOOKUP(A68,'予選 Ｐ'!$Y$5:$AE$100,6,0))</f>
        <v/>
      </c>
      <c r="I68" s="138" t="str">
        <f>IF(A68="","",VLOOKUP(A68,'予選 Ｐ'!$Y$5:$AE$100,7,0))</f>
        <v/>
      </c>
      <c r="J68" s="147" t="str">
        <f>IF(A68="","",VLOOKUP(A68,'予選 Ｐ'!$Y$5:$AH$100,9,0))</f>
        <v/>
      </c>
      <c r="K68" s="121" t="str">
        <f t="shared" si="0"/>
        <v/>
      </c>
      <c r="L68" s="121" t="str">
        <f t="shared" si="1"/>
        <v/>
      </c>
      <c r="M68" s="121" t="str">
        <f t="shared" si="2"/>
        <v/>
      </c>
    </row>
    <row r="69" spans="1:13" s="121" customFormat="1" ht="12">
      <c r="A69" s="139" t="str">
        <f>名簿!A68</f>
        <v/>
      </c>
      <c r="B69" s="140" t="str">
        <f>IF(A69="","",VLOOKUP(A69,'予選 Ｐ'!$D$5:$F$100,2,0))</f>
        <v/>
      </c>
      <c r="C69" s="139" t="str">
        <f>IF(A69="","",VLOOKUP(A69,'予選 Ｐ'!$D$5:$F$100,3,0))</f>
        <v/>
      </c>
      <c r="D69" s="141" t="str">
        <f>IF(A69="","",VLOOKUP(A69,'予選 Ｐ'!$Y$5:$AE$100,2,0))</f>
        <v/>
      </c>
      <c r="E69" s="141" t="str">
        <f>IF(A69="","",VLOOKUP(A69,'予選 Ｐ'!$Y$5:$AE$100,3,0))</f>
        <v/>
      </c>
      <c r="F69" s="141" t="str">
        <f>IF(A69="","",VLOOKUP(A69,'予選 Ｐ'!$Y$5:$AE$100,4,0))</f>
        <v/>
      </c>
      <c r="G69" s="141" t="str">
        <f>IF(A69="","",VLOOKUP(A69,'予選 Ｐ'!$Y$5:$AE$100,5,0))</f>
        <v/>
      </c>
      <c r="H69" s="141" t="str">
        <f>IF(A69="","",VLOOKUP(A69,'予選 Ｐ'!$Y$5:$AE$100,6,0))</f>
        <v/>
      </c>
      <c r="I69" s="141" t="str">
        <f>IF(A69="","",VLOOKUP(A69,'予選 Ｐ'!$Y$5:$AE$100,7,0))</f>
        <v/>
      </c>
      <c r="J69" s="147" t="str">
        <f>IF(A69="","",VLOOKUP(A69,'予選 Ｐ'!$Y$5:$AH$100,9,0))</f>
        <v/>
      </c>
      <c r="K69" s="121" t="str">
        <f t="shared" si="0"/>
        <v/>
      </c>
      <c r="L69" s="121" t="str">
        <f t="shared" si="1"/>
        <v/>
      </c>
      <c r="M69" s="121" t="str">
        <f t="shared" si="2"/>
        <v/>
      </c>
    </row>
    <row r="70" spans="1:13">
      <c r="A70" s="125"/>
      <c r="B70" s="126" t="s">
        <v>54</v>
      </c>
      <c r="C70" s="127" t="s">
        <v>55</v>
      </c>
      <c r="D70" s="125"/>
      <c r="E70" s="125"/>
      <c r="F70" s="125"/>
      <c r="G70" s="128"/>
      <c r="H70" s="128"/>
      <c r="I70" s="129"/>
      <c r="J70" s="145"/>
    </row>
    <row r="71" spans="1:13">
      <c r="A71" s="125"/>
      <c r="B71" s="130"/>
      <c r="C71" s="125"/>
      <c r="D71" s="125"/>
      <c r="E71" s="125"/>
      <c r="F71" s="125"/>
      <c r="G71" s="128"/>
      <c r="H71" s="128"/>
      <c r="I71" s="129"/>
      <c r="J71" s="145"/>
    </row>
    <row r="72" spans="1:13">
      <c r="A72" s="125"/>
      <c r="B72" s="130"/>
      <c r="C72" s="125"/>
      <c r="D72" s="125"/>
      <c r="E72" s="125"/>
      <c r="F72" s="125"/>
      <c r="G72" s="128"/>
      <c r="H72" s="128"/>
      <c r="I72" s="129"/>
      <c r="J72" s="145"/>
    </row>
    <row r="73" spans="1:13">
      <c r="A73" s="125"/>
      <c r="B73" s="130"/>
      <c r="C73" s="125"/>
      <c r="D73" s="125"/>
      <c r="E73" s="125"/>
      <c r="F73" s="125"/>
      <c r="G73" s="128"/>
      <c r="H73" s="128"/>
      <c r="I73" s="125"/>
      <c r="J73" s="145"/>
    </row>
    <row r="74" spans="1:13">
      <c r="A74" s="125"/>
      <c r="B74" s="130"/>
      <c r="C74" s="125"/>
      <c r="D74" s="125"/>
      <c r="E74" s="125"/>
      <c r="F74" s="125"/>
      <c r="G74" s="128"/>
      <c r="H74" s="128"/>
      <c r="I74" s="129"/>
      <c r="J74" s="145"/>
    </row>
    <row r="75" spans="1:13">
      <c r="A75" s="125"/>
      <c r="B75" s="130"/>
      <c r="C75" s="125"/>
      <c r="D75" s="125"/>
      <c r="E75" s="125"/>
      <c r="F75" s="125"/>
      <c r="G75" s="128"/>
      <c r="H75" s="128"/>
      <c r="I75" s="129"/>
      <c r="J75" s="145"/>
    </row>
    <row r="76" spans="1:13">
      <c r="A76" s="125"/>
      <c r="B76" s="130"/>
      <c r="C76" s="125"/>
      <c r="D76" s="125"/>
      <c r="E76" s="125"/>
      <c r="F76" s="125"/>
      <c r="G76" s="128"/>
      <c r="H76" s="128"/>
      <c r="I76" s="129"/>
      <c r="J76" s="145"/>
    </row>
    <row r="77" spans="1:13">
      <c r="A77" s="125"/>
      <c r="B77" s="130"/>
      <c r="C77" s="125"/>
      <c r="D77" s="125"/>
      <c r="E77" s="125"/>
      <c r="F77" s="125"/>
      <c r="G77" s="128"/>
      <c r="H77" s="128"/>
      <c r="I77" s="129"/>
      <c r="J77" s="145"/>
    </row>
    <row r="78" spans="1:13">
      <c r="A78" s="125"/>
      <c r="B78" s="130"/>
      <c r="C78" s="125"/>
      <c r="D78" s="125"/>
      <c r="E78" s="125"/>
      <c r="F78" s="125"/>
      <c r="G78" s="128"/>
      <c r="H78" s="128"/>
      <c r="I78" s="129"/>
      <c r="J78" s="145"/>
    </row>
    <row r="79" spans="1:13">
      <c r="A79" s="125"/>
      <c r="B79" s="130"/>
      <c r="C79" s="125"/>
      <c r="D79" s="125"/>
      <c r="E79" s="125"/>
      <c r="F79" s="125"/>
      <c r="G79" s="128"/>
      <c r="H79" s="128"/>
      <c r="I79" s="125"/>
      <c r="J79" s="145"/>
    </row>
    <row r="80" spans="1:13">
      <c r="A80" s="125"/>
      <c r="B80" s="130"/>
      <c r="C80" s="125"/>
      <c r="D80" s="125"/>
      <c r="E80" s="125"/>
      <c r="F80" s="125"/>
      <c r="G80" s="128"/>
      <c r="H80" s="128"/>
      <c r="I80" s="129"/>
      <c r="J80" s="145"/>
    </row>
    <row r="81" spans="1:10">
      <c r="A81" s="125"/>
      <c r="B81" s="130"/>
      <c r="C81" s="125"/>
      <c r="D81" s="125"/>
      <c r="E81" s="125"/>
      <c r="F81" s="125"/>
      <c r="G81" s="128"/>
      <c r="H81" s="128"/>
      <c r="I81" s="129"/>
      <c r="J81" s="145"/>
    </row>
    <row r="82" spans="1:10">
      <c r="A82" s="125"/>
      <c r="B82" s="130"/>
      <c r="C82" s="125"/>
      <c r="D82" s="125"/>
      <c r="E82" s="125"/>
      <c r="F82" s="125"/>
      <c r="G82" s="128"/>
      <c r="H82" s="128"/>
      <c r="I82" s="129"/>
      <c r="J82" s="145"/>
    </row>
    <row r="83" spans="1:10">
      <c r="A83" s="125"/>
      <c r="B83" s="130"/>
      <c r="C83" s="125"/>
      <c r="D83" s="125"/>
      <c r="E83" s="125"/>
      <c r="F83" s="125"/>
      <c r="G83" s="128"/>
      <c r="H83" s="128"/>
      <c r="I83" s="129"/>
      <c r="J83" s="145"/>
    </row>
    <row r="84" spans="1:10">
      <c r="A84" s="125"/>
      <c r="B84" s="130"/>
      <c r="C84" s="125"/>
      <c r="D84" s="125"/>
      <c r="E84" s="125"/>
      <c r="F84" s="125"/>
      <c r="G84" s="128"/>
      <c r="H84" s="128"/>
      <c r="I84" s="129"/>
      <c r="J84" s="145"/>
    </row>
    <row r="85" spans="1:10">
      <c r="A85" s="125"/>
      <c r="B85" s="130"/>
      <c r="C85" s="125"/>
      <c r="D85" s="125"/>
      <c r="E85" s="125"/>
      <c r="F85" s="125"/>
      <c r="G85" s="128"/>
      <c r="H85" s="128"/>
      <c r="I85" s="125"/>
      <c r="J85" s="145"/>
    </row>
    <row r="86" spans="1:10">
      <c r="A86" s="125"/>
      <c r="B86" s="130"/>
      <c r="C86" s="125"/>
      <c r="D86" s="125"/>
      <c r="E86" s="125"/>
      <c r="F86" s="125"/>
      <c r="G86" s="128"/>
      <c r="H86" s="128"/>
      <c r="I86" s="129"/>
      <c r="J86" s="145"/>
    </row>
    <row r="87" spans="1:10">
      <c r="A87" s="125"/>
      <c r="B87" s="130"/>
      <c r="C87" s="125"/>
      <c r="D87" s="125"/>
      <c r="E87" s="125"/>
      <c r="F87" s="125"/>
      <c r="G87" s="128"/>
      <c r="H87" s="128"/>
      <c r="I87" s="129"/>
      <c r="J87" s="145"/>
    </row>
    <row r="88" spans="1:10">
      <c r="A88" s="125"/>
      <c r="B88" s="130"/>
      <c r="C88" s="125"/>
      <c r="D88" s="125"/>
      <c r="E88" s="125"/>
      <c r="F88" s="125"/>
      <c r="G88" s="128"/>
      <c r="H88" s="128"/>
      <c r="I88" s="129"/>
      <c r="J88" s="145"/>
    </row>
    <row r="89" spans="1:10">
      <c r="A89" s="125"/>
      <c r="B89" s="130"/>
      <c r="C89" s="125"/>
      <c r="D89" s="125"/>
      <c r="E89" s="125"/>
      <c r="F89" s="125"/>
      <c r="G89" s="128"/>
      <c r="H89" s="128"/>
      <c r="I89" s="129"/>
      <c r="J89" s="145"/>
    </row>
    <row r="90" spans="1:10">
      <c r="A90" s="125"/>
      <c r="B90" s="130"/>
      <c r="C90" s="125"/>
      <c r="D90" s="125"/>
      <c r="E90" s="125"/>
      <c r="F90" s="125"/>
      <c r="G90" s="128"/>
      <c r="H90" s="128"/>
      <c r="I90" s="129"/>
      <c r="J90" s="145"/>
    </row>
    <row r="91" spans="1:10">
      <c r="A91" s="125"/>
      <c r="B91" s="130"/>
      <c r="C91" s="125"/>
      <c r="D91" s="125"/>
      <c r="E91" s="125"/>
      <c r="F91" s="125"/>
      <c r="G91" s="128"/>
      <c r="H91" s="128"/>
      <c r="I91" s="125"/>
      <c r="J91" s="145"/>
    </row>
    <row r="92" spans="1:10">
      <c r="A92" s="125"/>
      <c r="B92" s="130"/>
      <c r="C92" s="125"/>
      <c r="D92" s="125"/>
      <c r="E92" s="125"/>
      <c r="F92" s="125"/>
      <c r="G92" s="128"/>
      <c r="H92" s="128"/>
      <c r="I92" s="129"/>
      <c r="J92" s="145"/>
    </row>
    <row r="93" spans="1:10">
      <c r="A93" s="125"/>
      <c r="B93" s="130"/>
      <c r="C93" s="125"/>
      <c r="D93" s="125"/>
      <c r="E93" s="125"/>
      <c r="F93" s="125"/>
      <c r="G93" s="128"/>
      <c r="H93" s="128"/>
      <c r="I93" s="129"/>
      <c r="J93" s="145"/>
    </row>
    <row r="94" spans="1:10">
      <c r="A94" s="125"/>
      <c r="B94" s="130"/>
      <c r="C94" s="125"/>
      <c r="D94" s="125"/>
      <c r="E94" s="125"/>
      <c r="F94" s="125"/>
      <c r="G94" s="128"/>
      <c r="H94" s="128"/>
      <c r="I94" s="129"/>
      <c r="J94" s="145"/>
    </row>
    <row r="95" spans="1:10">
      <c r="A95" s="125"/>
      <c r="B95" s="130"/>
      <c r="C95" s="125"/>
      <c r="D95" s="125"/>
      <c r="E95" s="125"/>
      <c r="F95" s="125"/>
      <c r="G95" s="128"/>
      <c r="H95" s="128"/>
      <c r="I95" s="129"/>
      <c r="J95" s="145"/>
    </row>
    <row r="96" spans="1:10">
      <c r="A96" s="125"/>
      <c r="B96" s="130"/>
      <c r="C96" s="125"/>
      <c r="D96" s="125"/>
      <c r="E96" s="125"/>
      <c r="F96" s="125"/>
      <c r="G96" s="128"/>
      <c r="H96" s="128"/>
      <c r="I96" s="129"/>
      <c r="J96" s="145"/>
    </row>
  </sheetData>
  <sheetProtection selectLockedCells="1"/>
  <mergeCells count="5">
    <mergeCell ref="A4:C4"/>
    <mergeCell ref="A1:I1"/>
    <mergeCell ref="A2:F2"/>
    <mergeCell ref="A3:F3"/>
    <mergeCell ref="G3:I3"/>
  </mergeCells>
  <phoneticPr fontId="2"/>
  <conditionalFormatting sqref="I70:J72 I92:J96 I74:J78 I80:J84 I86:J90">
    <cfRule type="expression" dxfId="61" priority="3" stopIfTrue="1">
      <formula>#REF!=1</formula>
    </cfRule>
  </conditionalFormatting>
  <conditionalFormatting sqref="B70">
    <cfRule type="cellIs" dxfId="60" priority="1" stopIfTrue="1" operator="equal">
      <formula>""</formula>
    </cfRule>
    <cfRule type="cellIs" dxfId="59" priority="2" stopIfTrue="1" operator="notEqual">
      <formula>""</formula>
    </cfRule>
  </conditionalFormatting>
  <dataValidations count="1">
    <dataValidation type="custom" imeMode="off" allowBlank="1" showInputMessage="1" showErrorMessage="1" errorTitle="入力エラー" error="「０」から「５」、または「Ｖ０」から「Ｖ５」です。" sqref="I92:J96 I74:J78 I80:J84 I70:J72 I86:J90">
      <formula1>OR(AND(I70&gt;=0,I70&lt;=5),I70="V0",I70="V1",I70="V2",I70="V3",I70="V4",I70="V5")</formula1>
    </dataValidation>
  </dataValidations>
  <printOptions horizontalCentered="1"/>
  <pageMargins left="0.78740157480314965" right="0.39370078740157483" top="0.39370078740157483" bottom="0.39370078740157483" header="0.59055118110236227" footer="0.39370078740157483"/>
  <pageSetup paperSize="9" fitToHeight="2" orientation="portrait" horizontalDpi="360" verticalDpi="360" r:id="rId1"/>
  <headerFooter alignWithMargins="0"/>
  <rowBreaks count="1" manualBreakCount="1">
    <brk id="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6"/>
  <sheetViews>
    <sheetView showGridLines="0" view="pageBreakPreview" topLeftCell="A32" zoomScaleNormal="100" zoomScaleSheetLayoutView="100" workbookViewId="0">
      <selection activeCell="L26" sqref="L26:L29"/>
    </sheetView>
  </sheetViews>
  <sheetFormatPr defaultRowHeight="9" customHeight="1"/>
  <cols>
    <col min="1" max="1" width="3.7109375" style="271" bestFit="1" customWidth="1"/>
    <col min="2" max="2" width="15.85546875" style="271" bestFit="1" customWidth="1"/>
    <col min="3" max="3" width="14" style="305" bestFit="1" customWidth="1"/>
    <col min="4" max="4" width="2.5703125" style="303" bestFit="1" customWidth="1"/>
    <col min="5" max="5" width="13.7109375" style="271" customWidth="1"/>
    <col min="6" max="6" width="2.7109375" style="271" bestFit="1" customWidth="1"/>
    <col min="7" max="7" width="13.7109375" style="271" customWidth="1"/>
    <col min="8" max="8" width="2.7109375" style="271" bestFit="1" customWidth="1"/>
    <col min="9" max="9" width="13.7109375" style="271" customWidth="1"/>
    <col min="10" max="10" width="2.7109375" style="271" bestFit="1" customWidth="1"/>
    <col min="11" max="11" width="13.7109375" style="271" customWidth="1"/>
    <col min="12" max="12" width="2.7109375" style="304" bestFit="1" customWidth="1"/>
    <col min="13" max="13" width="13.7109375" style="271" customWidth="1"/>
    <col min="14" max="14" width="2.7109375" style="271" bestFit="1" customWidth="1"/>
    <col min="15" max="15" width="13.7109375" style="271" customWidth="1"/>
    <col min="16" max="16" width="5.42578125" style="271" bestFit="1" customWidth="1"/>
    <col min="17" max="16384" width="9.140625" style="271"/>
  </cols>
  <sheetData>
    <row r="1" spans="1:16" ht="17.25">
      <c r="A1" s="364" t="str">
        <f>名簿!$A$1</f>
        <v>第9回川本杯はしまモアフェンシング大会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270"/>
      <c r="N1" s="270"/>
      <c r="O1" s="270"/>
      <c r="P1" s="270"/>
    </row>
    <row r="2" spans="1:16" ht="12">
      <c r="A2" s="365" t="str">
        <f>"　"&amp;名簿!$A$2</f>
        <v>　中学男子</v>
      </c>
      <c r="B2" s="365"/>
      <c r="C2" s="365"/>
      <c r="D2" s="365"/>
      <c r="E2" s="365"/>
      <c r="F2" s="365"/>
      <c r="G2" s="365"/>
      <c r="H2" s="270"/>
      <c r="I2" s="270"/>
      <c r="J2" s="270"/>
      <c r="K2" s="270"/>
      <c r="L2" s="270"/>
      <c r="M2" s="363">
        <f>名簿!E3</f>
        <v>43184</v>
      </c>
      <c r="N2" s="363"/>
      <c r="O2" s="363"/>
      <c r="P2" s="363"/>
    </row>
    <row r="3" spans="1:16" ht="12">
      <c r="A3" s="270"/>
      <c r="B3" s="270"/>
      <c r="C3" s="270"/>
      <c r="D3" s="272"/>
      <c r="E3" s="270"/>
      <c r="F3" s="270"/>
      <c r="G3" s="270"/>
      <c r="H3" s="270"/>
      <c r="I3" s="270"/>
      <c r="J3" s="270"/>
      <c r="K3" s="270"/>
      <c r="L3" s="270"/>
      <c r="M3" s="273"/>
      <c r="N3" s="273"/>
      <c r="O3" s="273"/>
      <c r="P3" s="273"/>
    </row>
    <row r="4" spans="1:16" ht="12">
      <c r="A4" s="270"/>
      <c r="B4" s="270"/>
      <c r="C4" s="270"/>
      <c r="D4" s="272"/>
      <c r="E4" s="270"/>
      <c r="F4" s="270"/>
      <c r="G4" s="270"/>
      <c r="H4" s="270"/>
      <c r="I4" s="270"/>
      <c r="J4" s="270"/>
      <c r="K4" s="270"/>
      <c r="L4" s="270"/>
      <c r="M4" s="273"/>
      <c r="N4" s="273"/>
      <c r="O4" s="273"/>
      <c r="P4" s="273"/>
    </row>
    <row r="5" spans="1:16" ht="7.5" customHeight="1">
      <c r="A5" s="353">
        <v>1</v>
      </c>
      <c r="B5" s="355" t="str">
        <f>IF(ISERROR(VLOOKUP(A5,ｼｰﾄﾞ!$A$6:$C$69,2,0)),"",VLOOKUP(A5,ｼｰﾄﾞ!$A$6:$C$69,2,0))</f>
        <v>はしまモア</v>
      </c>
      <c r="C5" s="353" t="str">
        <f>IF(ISERROR(VLOOKUP(A5,ｼｰﾄﾞ!$A$6:$C$69,3,0)),"",VLOOKUP(A5,ｼｰﾄﾞ!$A$6:$C$69,3,0))</f>
        <v>福田　亮介</v>
      </c>
      <c r="D5" s="274"/>
      <c r="E5" s="275"/>
      <c r="F5" s="276"/>
      <c r="G5" s="276"/>
      <c r="H5" s="275"/>
      <c r="I5" s="275"/>
      <c r="J5" s="275"/>
      <c r="K5" s="275"/>
      <c r="L5" s="277"/>
    </row>
    <row r="6" spans="1:16" ht="7.5" customHeight="1">
      <c r="A6" s="354"/>
      <c r="B6" s="356"/>
      <c r="C6" s="354"/>
      <c r="D6" s="339" t="str">
        <f>IF(B7="",C5,IF(D5="","",IF(D5&lt;D8,C7,C5)))</f>
        <v>福田　亮介</v>
      </c>
      <c r="E6" s="340"/>
      <c r="F6" s="338">
        <v>10</v>
      </c>
      <c r="J6" s="275"/>
      <c r="K6" s="275"/>
      <c r="L6" s="277"/>
      <c r="M6" s="336" t="s">
        <v>33</v>
      </c>
      <c r="N6" s="337"/>
      <c r="O6" s="330" t="str">
        <f>IF(N98="","",N98)</f>
        <v/>
      </c>
      <c r="P6" s="331"/>
    </row>
    <row r="7" spans="1:16" ht="7.5" customHeight="1">
      <c r="A7" s="354">
        <v>64</v>
      </c>
      <c r="B7" s="356" t="str">
        <f>IF(ISERROR(VLOOKUP(A7,ｼｰﾄﾞ!$A$6:$C$69,2,0)),"",VLOOKUP(A7,ｼｰﾄﾞ!$A$6:$C$69,2,0))</f>
        <v/>
      </c>
      <c r="C7" s="354" t="str">
        <f>IF(ISERROR(VLOOKUP(A7,ｼｰﾄﾞ!$A$6:$C$69,3,0)),"",VLOOKUP(A7,ｼｰﾄﾞ!$A$6:$C$69,3,0))</f>
        <v/>
      </c>
      <c r="D7" s="343"/>
      <c r="E7" s="344"/>
      <c r="F7" s="338"/>
      <c r="J7" s="275"/>
      <c r="K7" s="275"/>
      <c r="L7" s="277"/>
      <c r="M7" s="336"/>
      <c r="N7" s="337"/>
      <c r="O7" s="334"/>
      <c r="P7" s="335"/>
    </row>
    <row r="8" spans="1:16" ht="7.5" customHeight="1">
      <c r="A8" s="357"/>
      <c r="B8" s="358"/>
      <c r="C8" s="357"/>
      <c r="D8" s="278"/>
      <c r="E8" s="279"/>
      <c r="F8" s="339" t="str">
        <f>IF(AND(D12="",D6=""),"",IF(F6="","",IF(F6&lt;F12,D12,D6)))</f>
        <v>福田　亮介</v>
      </c>
      <c r="G8" s="340"/>
      <c r="H8" s="338">
        <v>10</v>
      </c>
      <c r="I8" s="275"/>
      <c r="J8" s="275"/>
      <c r="K8" s="275"/>
      <c r="L8" s="277"/>
      <c r="M8" s="336" t="s">
        <v>51</v>
      </c>
      <c r="N8" s="337"/>
      <c r="O8" s="332" t="str">
        <f>IF(N50="","",IF(N146&gt;N50,L50,L146))</f>
        <v/>
      </c>
      <c r="P8" s="333"/>
    </row>
    <row r="9" spans="1:16" ht="2.25" customHeight="1">
      <c r="A9" s="280"/>
      <c r="B9" s="281"/>
      <c r="C9" s="280"/>
      <c r="D9" s="282"/>
      <c r="E9" s="283"/>
      <c r="F9" s="341"/>
      <c r="G9" s="342"/>
      <c r="H9" s="338"/>
      <c r="I9" s="275"/>
      <c r="J9" s="275"/>
      <c r="K9" s="275"/>
      <c r="L9" s="277"/>
      <c r="M9" s="336"/>
      <c r="N9" s="337"/>
      <c r="O9" s="332"/>
      <c r="P9" s="333"/>
    </row>
    <row r="10" spans="1:16" ht="2.25" customHeight="1">
      <c r="A10" s="284"/>
      <c r="B10" s="285"/>
      <c r="C10" s="284"/>
      <c r="D10" s="282"/>
      <c r="E10" s="283"/>
      <c r="F10" s="341"/>
      <c r="G10" s="342"/>
      <c r="H10" s="338"/>
      <c r="I10" s="275"/>
      <c r="J10" s="275"/>
      <c r="K10" s="275"/>
      <c r="L10" s="277"/>
      <c r="M10" s="336"/>
      <c r="N10" s="337"/>
      <c r="O10" s="332"/>
      <c r="P10" s="333"/>
    </row>
    <row r="11" spans="1:16" ht="7.5" customHeight="1">
      <c r="A11" s="353">
        <v>33</v>
      </c>
      <c r="B11" s="355" t="str">
        <f>IF(ISERROR(VLOOKUP(A11,ｼｰﾄﾞ!$A$6:$C$69,2,0)),"",VLOOKUP(A11,ｼｰﾄﾞ!$A$6:$C$69,2,0))</f>
        <v>長野ジュニア</v>
      </c>
      <c r="C11" s="353" t="str">
        <f>IF(ISERROR(VLOOKUP(A11,ｼｰﾄﾞ!$A$6:$C$69,3,0)),"",VLOOKUP(A11,ｼｰﾄﾞ!$A$6:$C$69,3,0))</f>
        <v>登内　雄心</v>
      </c>
      <c r="D11" s="274">
        <v>10</v>
      </c>
      <c r="E11" s="286"/>
      <c r="F11" s="343"/>
      <c r="G11" s="344"/>
      <c r="H11" s="338"/>
      <c r="L11" s="271"/>
      <c r="M11" s="336"/>
      <c r="N11" s="337"/>
      <c r="O11" s="334"/>
      <c r="P11" s="335"/>
    </row>
    <row r="12" spans="1:16" ht="7.5" customHeight="1">
      <c r="A12" s="354"/>
      <c r="B12" s="356"/>
      <c r="C12" s="354"/>
      <c r="D12" s="339" t="str">
        <f>IF(B11="",C13,IF(D11="","",IF(D11&lt;D14,C13,C11)))</f>
        <v>登内　雄心</v>
      </c>
      <c r="E12" s="340"/>
      <c r="F12" s="338">
        <v>2</v>
      </c>
      <c r="G12" s="287"/>
      <c r="L12" s="277"/>
      <c r="M12" s="336" t="s">
        <v>52</v>
      </c>
      <c r="N12" s="337"/>
      <c r="O12" s="330" t="str">
        <f>IF(N188="","",N188)</f>
        <v/>
      </c>
      <c r="P12" s="331"/>
    </row>
    <row r="13" spans="1:16" ht="7.5" customHeight="1">
      <c r="A13" s="354">
        <v>32</v>
      </c>
      <c r="B13" s="356" t="str">
        <f>IF(ISERROR(VLOOKUP(A13,ｼｰﾄﾞ!$A$6:$C$69,2,0)),"",VLOOKUP(A13,ｼｰﾄﾞ!$A$6:$C$69,2,0))</f>
        <v>富山パレス</v>
      </c>
      <c r="C13" s="354" t="str">
        <f>IF(ISERROR(VLOOKUP(A13,ｼｰﾄﾞ!$A$6:$C$69,3,0)),"",VLOOKUP(A13,ｼｰﾄﾞ!$A$6:$C$69,3,0))</f>
        <v>土田　龍也</v>
      </c>
      <c r="D13" s="343"/>
      <c r="E13" s="344"/>
      <c r="F13" s="338"/>
      <c r="G13" s="286"/>
      <c r="L13" s="277"/>
      <c r="M13" s="336"/>
      <c r="N13" s="337"/>
      <c r="O13" s="332"/>
      <c r="P13" s="333"/>
    </row>
    <row r="14" spans="1:16" ht="7.5" customHeight="1">
      <c r="A14" s="357"/>
      <c r="B14" s="358"/>
      <c r="C14" s="357"/>
      <c r="D14" s="278">
        <v>1</v>
      </c>
      <c r="F14" s="288"/>
      <c r="G14" s="286"/>
      <c r="H14" s="339" t="str">
        <f>IF(AND(F20="",F8=""),"",IF(H8="","",IF(H20&lt;H8,F8,F20)))</f>
        <v>福田　亮介</v>
      </c>
      <c r="I14" s="340"/>
      <c r="J14" s="346">
        <v>10</v>
      </c>
      <c r="K14" s="275"/>
      <c r="L14" s="277"/>
      <c r="M14" s="336" t="s">
        <v>53</v>
      </c>
      <c r="N14" s="337"/>
      <c r="O14" s="330" t="str">
        <f>IF(N186="","",IF(N192&gt;N186,L186,L192))</f>
        <v/>
      </c>
      <c r="P14" s="331"/>
    </row>
    <row r="15" spans="1:16" ht="2.25" customHeight="1">
      <c r="A15" s="280"/>
      <c r="B15" s="281"/>
      <c r="C15" s="280"/>
      <c r="D15" s="282"/>
      <c r="E15" s="289"/>
      <c r="F15" s="288"/>
      <c r="G15" s="286"/>
      <c r="H15" s="341"/>
      <c r="I15" s="342"/>
      <c r="J15" s="346"/>
      <c r="K15" s="275"/>
      <c r="L15" s="277"/>
      <c r="M15" s="336"/>
      <c r="N15" s="337"/>
      <c r="O15" s="332"/>
      <c r="P15" s="333"/>
    </row>
    <row r="16" spans="1:16" ht="2.25" customHeight="1">
      <c r="A16" s="284"/>
      <c r="B16" s="285"/>
      <c r="C16" s="284"/>
      <c r="D16" s="282"/>
      <c r="E16" s="289"/>
      <c r="F16" s="288"/>
      <c r="G16" s="286"/>
      <c r="H16" s="341"/>
      <c r="I16" s="342"/>
      <c r="J16" s="346"/>
      <c r="K16" s="275"/>
      <c r="L16" s="277"/>
      <c r="M16" s="336"/>
      <c r="N16" s="337"/>
      <c r="O16" s="332"/>
      <c r="P16" s="333"/>
    </row>
    <row r="17" spans="1:16" ht="7.5" customHeight="1">
      <c r="A17" s="353">
        <v>17</v>
      </c>
      <c r="B17" s="355" t="str">
        <f>IF(ISERROR(VLOOKUP(A17,ｼｰﾄﾞ!$A$6:$C$69,2,0)),"",VLOOKUP(A17,ｼｰﾄﾞ!$A$6:$C$69,2,0))</f>
        <v>はしまモア</v>
      </c>
      <c r="C17" s="353" t="str">
        <f>IF(ISERROR(VLOOKUP(A17,ｼｰﾄﾞ!$A$6:$C$69,3,0)),"",VLOOKUP(A17,ｼｰﾄﾞ!$A$6:$C$69,3,0))</f>
        <v>石橋　廉大</v>
      </c>
      <c r="D17" s="274">
        <v>10</v>
      </c>
      <c r="E17" s="275"/>
      <c r="F17" s="276"/>
      <c r="G17" s="290"/>
      <c r="H17" s="343"/>
      <c r="I17" s="344"/>
      <c r="J17" s="346"/>
      <c r="K17" s="289"/>
      <c r="L17" s="275"/>
      <c r="M17" s="336"/>
      <c r="N17" s="337"/>
      <c r="O17" s="334"/>
      <c r="P17" s="335"/>
    </row>
    <row r="18" spans="1:16" ht="7.5" customHeight="1">
      <c r="A18" s="354"/>
      <c r="B18" s="356"/>
      <c r="C18" s="354"/>
      <c r="D18" s="339" t="str">
        <f>IF(B19="",C17,IF(D17="","",IF(D17&lt;D20,C19,C17)))</f>
        <v>石橋　廉大</v>
      </c>
      <c r="E18" s="340"/>
      <c r="F18" s="338">
        <v>3</v>
      </c>
      <c r="G18" s="290"/>
      <c r="I18" s="286"/>
      <c r="J18" s="275"/>
      <c r="K18" s="275"/>
      <c r="L18" s="275"/>
      <c r="O18" s="291"/>
      <c r="P18" s="291"/>
    </row>
    <row r="19" spans="1:16" ht="7.5" customHeight="1">
      <c r="A19" s="354">
        <v>48</v>
      </c>
      <c r="B19" s="356" t="str">
        <f>IF(ISERROR(VLOOKUP(A19,ｼｰﾄﾞ!$A$6:$C$69,2,0)),"",VLOOKUP(A19,ｼｰﾄﾞ!$A$6:$C$69,2,0))</f>
        <v>速星中学校</v>
      </c>
      <c r="C19" s="354" t="str">
        <f>IF(ISERROR(VLOOKUP(A19,ｼｰﾄﾞ!$A$6:$C$69,3,0)),"",VLOOKUP(A19,ｼｰﾄﾞ!$A$6:$C$69,3,0))</f>
        <v>廣野　惇奈</v>
      </c>
      <c r="D19" s="343"/>
      <c r="E19" s="344"/>
      <c r="F19" s="338"/>
      <c r="G19" s="290"/>
      <c r="I19" s="286"/>
      <c r="J19" s="275"/>
      <c r="K19" s="275"/>
      <c r="L19" s="275"/>
      <c r="O19" s="292"/>
      <c r="P19" s="292"/>
    </row>
    <row r="20" spans="1:16" ht="7.5" customHeight="1">
      <c r="A20" s="357"/>
      <c r="B20" s="358"/>
      <c r="C20" s="357"/>
      <c r="D20" s="278">
        <v>0</v>
      </c>
      <c r="F20" s="339" t="str">
        <f>IF(AND(D24="",D18=""),"",IF(F18="","",IF(F18&lt;F24,D24,D18)))</f>
        <v>伊藤　真吾</v>
      </c>
      <c r="G20" s="340"/>
      <c r="H20" s="338">
        <v>5</v>
      </c>
      <c r="I20" s="286"/>
      <c r="J20" s="275"/>
      <c r="K20" s="275"/>
      <c r="L20" s="275"/>
    </row>
    <row r="21" spans="1:16" ht="2.25" customHeight="1">
      <c r="A21" s="280"/>
      <c r="B21" s="281"/>
      <c r="C21" s="280"/>
      <c r="D21" s="282"/>
      <c r="E21" s="289"/>
      <c r="F21" s="341"/>
      <c r="G21" s="342"/>
      <c r="H21" s="338"/>
      <c r="I21" s="286"/>
      <c r="J21" s="275"/>
      <c r="K21" s="275"/>
      <c r="L21" s="277"/>
    </row>
    <row r="22" spans="1:16" ht="2.25" customHeight="1">
      <c r="A22" s="284"/>
      <c r="B22" s="285"/>
      <c r="C22" s="284"/>
      <c r="D22" s="282"/>
      <c r="E22" s="289"/>
      <c r="F22" s="341"/>
      <c r="G22" s="342"/>
      <c r="H22" s="338"/>
      <c r="I22" s="286"/>
      <c r="J22" s="275"/>
      <c r="K22" s="275"/>
      <c r="L22" s="277"/>
    </row>
    <row r="23" spans="1:16" ht="7.5" customHeight="1">
      <c r="A23" s="359">
        <v>49</v>
      </c>
      <c r="B23" s="361" t="str">
        <f>IF(ISERROR(VLOOKUP(A23,ｼｰﾄﾞ!$A$6:$C$69,2,0)),"",VLOOKUP(A23,ｼｰﾄﾞ!$A$6:$C$69,2,0))</f>
        <v>武生二中</v>
      </c>
      <c r="C23" s="359" t="str">
        <f>IF(ISERROR(VLOOKUP(A23,ｼｰﾄﾞ!$A$6:$C$69,3,0)),"",VLOOKUP(A23,ｼｰﾄﾞ!$A$6:$C$69,3,0))</f>
        <v>山本　雄飛</v>
      </c>
      <c r="D23" s="274">
        <v>1</v>
      </c>
      <c r="E23" s="286"/>
      <c r="F23" s="343"/>
      <c r="G23" s="344"/>
      <c r="H23" s="338"/>
      <c r="I23" s="286"/>
      <c r="J23" s="275"/>
      <c r="K23" s="275"/>
      <c r="L23" s="275"/>
    </row>
    <row r="24" spans="1:16" ht="7.5" customHeight="1">
      <c r="A24" s="360"/>
      <c r="B24" s="362"/>
      <c r="C24" s="360"/>
      <c r="D24" s="339" t="str">
        <f>IF(B23="",C25,IF(D23="","",IF(D23&lt;D26,C25,C23)))</f>
        <v>伊藤　真吾</v>
      </c>
      <c r="E24" s="340"/>
      <c r="F24" s="352">
        <v>10</v>
      </c>
      <c r="I24" s="286"/>
      <c r="J24" s="275"/>
      <c r="K24" s="275"/>
      <c r="L24" s="275"/>
    </row>
    <row r="25" spans="1:16" ht="7.5" customHeight="1">
      <c r="A25" s="354">
        <v>16</v>
      </c>
      <c r="B25" s="356" t="str">
        <f>IF(ISERROR(VLOOKUP(A25,ｼｰﾄﾞ!$A$6:$C$69,2,0)),"",VLOOKUP(A25,ｼｰﾄﾞ!$A$6:$C$69,2,0))</f>
        <v>愛工大付属</v>
      </c>
      <c r="C25" s="354" t="str">
        <f>IF(ISERROR(VLOOKUP(A25,ｼｰﾄﾞ!$A$6:$C$69,3,0)),"",VLOOKUP(A25,ｼｰﾄﾞ!$A$6:$C$69,3,0))</f>
        <v>伊藤　真吾</v>
      </c>
      <c r="D25" s="343"/>
      <c r="E25" s="344"/>
      <c r="F25" s="338"/>
      <c r="G25" s="275"/>
      <c r="H25" s="275"/>
      <c r="I25" s="286"/>
      <c r="J25" s="275"/>
      <c r="K25" s="275"/>
      <c r="L25" s="275"/>
    </row>
    <row r="26" spans="1:16" ht="7.5" customHeight="1">
      <c r="A26" s="357"/>
      <c r="B26" s="358"/>
      <c r="C26" s="357"/>
      <c r="D26" s="278">
        <v>10</v>
      </c>
      <c r="E26" s="275"/>
      <c r="I26" s="286"/>
      <c r="J26" s="339" t="str">
        <f>IF(AND(H38="",H14=""),"",IF(J14="","",IF(J38&lt;J14,H14,H38)))</f>
        <v>福田　亮介</v>
      </c>
      <c r="K26" s="340"/>
      <c r="L26" s="338"/>
      <c r="M26" s="288"/>
      <c r="N26" s="288"/>
      <c r="O26" s="288"/>
    </row>
    <row r="27" spans="1:16" ht="2.25" customHeight="1">
      <c r="A27" s="280"/>
      <c r="B27" s="281"/>
      <c r="C27" s="280"/>
      <c r="D27" s="282"/>
      <c r="E27" s="289"/>
      <c r="I27" s="286"/>
      <c r="J27" s="341"/>
      <c r="K27" s="342"/>
      <c r="L27" s="338"/>
    </row>
    <row r="28" spans="1:16" ht="2.25" customHeight="1">
      <c r="A28" s="284"/>
      <c r="B28" s="285"/>
      <c r="C28" s="284"/>
      <c r="D28" s="282"/>
      <c r="E28" s="289"/>
      <c r="I28" s="286"/>
      <c r="J28" s="341"/>
      <c r="K28" s="342"/>
      <c r="L28" s="338"/>
    </row>
    <row r="29" spans="1:16" ht="7.5" customHeight="1">
      <c r="A29" s="353">
        <v>9</v>
      </c>
      <c r="B29" s="355" t="str">
        <f>IF(ISERROR(VLOOKUP(A29,ｼｰﾄﾞ!$A$6:$C$69,2,0)),"",VLOOKUP(A29,ｼｰﾄﾞ!$A$6:$C$69,2,0))</f>
        <v>法政大第二中学</v>
      </c>
      <c r="C29" s="353" t="str">
        <f>IF(ISERROR(VLOOKUP(A29,ｼｰﾄﾞ!$A$6:$C$69,3,0)),"",VLOOKUP(A29,ｼｰﾄﾞ!$A$6:$C$69,3,0))</f>
        <v>安井　琥珀</v>
      </c>
      <c r="D29" s="274"/>
      <c r="E29" s="275"/>
      <c r="F29" s="276"/>
      <c r="G29" s="276"/>
      <c r="H29" s="275"/>
      <c r="I29" s="286"/>
      <c r="J29" s="343"/>
      <c r="K29" s="344"/>
      <c r="L29" s="338"/>
      <c r="M29" s="288"/>
      <c r="N29" s="288"/>
      <c r="O29" s="288"/>
      <c r="P29" s="288"/>
    </row>
    <row r="30" spans="1:16" ht="7.5" customHeight="1">
      <c r="A30" s="354"/>
      <c r="B30" s="356"/>
      <c r="C30" s="354"/>
      <c r="D30" s="339" t="str">
        <f>IF(B31="",C29,IF(D29="","",IF(D29&lt;D32,C31,C29)))</f>
        <v>安井　琥珀</v>
      </c>
      <c r="E30" s="340"/>
      <c r="F30" s="338">
        <v>10</v>
      </c>
      <c r="H30" s="275"/>
      <c r="I30" s="286"/>
      <c r="K30" s="286"/>
      <c r="L30" s="275"/>
      <c r="M30" s="288"/>
      <c r="N30" s="288"/>
      <c r="O30" s="288"/>
      <c r="P30" s="288"/>
    </row>
    <row r="31" spans="1:16" ht="7.5" customHeight="1">
      <c r="A31" s="354">
        <v>56</v>
      </c>
      <c r="B31" s="356" t="str">
        <f>IF(ISERROR(VLOOKUP(A31,ｼｰﾄﾞ!$A$6:$C$69,2,0)),"",VLOOKUP(A31,ｼｰﾄﾞ!$A$6:$C$69,2,0))</f>
        <v/>
      </c>
      <c r="C31" s="354" t="str">
        <f>IF(ISERROR(VLOOKUP(A31,ｼｰﾄﾞ!$A$6:$C$69,3,0)),"",VLOOKUP(A31,ｼｰﾄﾞ!$A$6:$C$69,3,0))</f>
        <v/>
      </c>
      <c r="D31" s="343"/>
      <c r="E31" s="344"/>
      <c r="F31" s="338"/>
      <c r="H31" s="275"/>
      <c r="I31" s="286"/>
      <c r="J31" s="275"/>
      <c r="K31" s="286"/>
      <c r="L31" s="275"/>
      <c r="M31" s="288"/>
      <c r="N31" s="288"/>
      <c r="O31" s="288"/>
      <c r="P31" s="288"/>
    </row>
    <row r="32" spans="1:16" ht="7.5" customHeight="1">
      <c r="A32" s="357"/>
      <c r="B32" s="358"/>
      <c r="C32" s="357"/>
      <c r="D32" s="278"/>
      <c r="E32" s="279"/>
      <c r="F32" s="339" t="str">
        <f>IF(AND(D36="",D30=""),"",IF(F30="","",IF(F30&lt;F36,D36,D30)))</f>
        <v>安井　琥珀</v>
      </c>
      <c r="G32" s="340"/>
      <c r="H32" s="338">
        <v>7</v>
      </c>
      <c r="I32" s="286"/>
      <c r="J32" s="275"/>
      <c r="K32" s="286"/>
      <c r="L32" s="275"/>
      <c r="M32" s="288"/>
      <c r="N32" s="288"/>
      <c r="O32" s="288"/>
      <c r="P32" s="288"/>
    </row>
    <row r="33" spans="1:16" ht="2.25" customHeight="1">
      <c r="A33" s="280"/>
      <c r="B33" s="281"/>
      <c r="C33" s="280"/>
      <c r="D33" s="282"/>
      <c r="E33" s="289"/>
      <c r="F33" s="341"/>
      <c r="G33" s="342"/>
      <c r="H33" s="338"/>
      <c r="I33" s="286"/>
      <c r="J33" s="275"/>
      <c r="K33" s="286"/>
      <c r="L33" s="275"/>
    </row>
    <row r="34" spans="1:16" ht="2.25" customHeight="1">
      <c r="A34" s="284"/>
      <c r="B34" s="285"/>
      <c r="C34" s="284"/>
      <c r="D34" s="282"/>
      <c r="E34" s="289"/>
      <c r="F34" s="341"/>
      <c r="G34" s="342"/>
      <c r="H34" s="338"/>
      <c r="I34" s="286"/>
      <c r="J34" s="275"/>
      <c r="K34" s="286"/>
      <c r="L34" s="275"/>
    </row>
    <row r="35" spans="1:16" ht="7.5" customHeight="1">
      <c r="A35" s="359">
        <v>41</v>
      </c>
      <c r="B35" s="361" t="str">
        <f>IF(ISERROR(VLOOKUP(A35,ｼｰﾄﾞ!$A$6:$C$69,2,0)),"",VLOOKUP(A35,ｼｰﾄﾞ!$A$6:$C$69,2,0))</f>
        <v>速星中学校</v>
      </c>
      <c r="C35" s="359" t="str">
        <f>IF(ISERROR(VLOOKUP(A35,ｼｰﾄﾞ!$A$6:$C$69,3,0)),"",VLOOKUP(A35,ｼｰﾄﾞ!$A$6:$C$69,3,0))</f>
        <v>濱崎　隼十</v>
      </c>
      <c r="D35" s="274">
        <v>6</v>
      </c>
      <c r="E35" s="286"/>
      <c r="F35" s="343"/>
      <c r="G35" s="344"/>
      <c r="H35" s="338"/>
      <c r="I35" s="286"/>
      <c r="J35" s="288"/>
      <c r="K35" s="293"/>
      <c r="L35" s="275"/>
      <c r="M35" s="288"/>
      <c r="N35" s="288"/>
      <c r="O35" s="288"/>
    </row>
    <row r="36" spans="1:16" ht="7.5" customHeight="1">
      <c r="A36" s="360"/>
      <c r="B36" s="362"/>
      <c r="C36" s="360"/>
      <c r="D36" s="339" t="str">
        <f>IF(B35="",C37,IF(D35="","",IF(D35&lt;D38,C37,C35)))</f>
        <v>高畠　龍斗</v>
      </c>
      <c r="E36" s="340"/>
      <c r="F36" s="338">
        <v>5</v>
      </c>
      <c r="G36" s="287"/>
      <c r="I36" s="286"/>
      <c r="J36" s="288"/>
      <c r="K36" s="293"/>
      <c r="L36" s="275"/>
      <c r="M36" s="288"/>
      <c r="N36" s="289"/>
      <c r="O36" s="289"/>
    </row>
    <row r="37" spans="1:16" ht="7.5" customHeight="1">
      <c r="A37" s="354">
        <v>24</v>
      </c>
      <c r="B37" s="356" t="str">
        <f>IF(ISERROR(VLOOKUP(A37,ｼｰﾄﾞ!$A$6:$C$69,2,0)),"",VLOOKUP(A37,ｼｰﾄﾞ!$A$6:$C$69,2,0))</f>
        <v>富山パレス</v>
      </c>
      <c r="C37" s="354" t="str">
        <f>IF(ISERROR(VLOOKUP(A37,ｼｰﾄﾞ!$A$6:$C$69,3,0)),"",VLOOKUP(A37,ｼｰﾄﾞ!$A$6:$C$69,3,0))</f>
        <v>高畠　龍斗</v>
      </c>
      <c r="D37" s="343"/>
      <c r="E37" s="344"/>
      <c r="F37" s="338"/>
      <c r="G37" s="286"/>
      <c r="H37" s="275"/>
      <c r="I37" s="286"/>
      <c r="J37" s="275"/>
      <c r="K37" s="286"/>
      <c r="L37" s="275"/>
      <c r="M37" s="288"/>
      <c r="N37" s="288"/>
      <c r="O37" s="294"/>
    </row>
    <row r="38" spans="1:16" ht="7.5" customHeight="1">
      <c r="A38" s="357"/>
      <c r="B38" s="358"/>
      <c r="C38" s="357"/>
      <c r="D38" s="278">
        <v>10</v>
      </c>
      <c r="G38" s="286"/>
      <c r="H38" s="339" t="str">
        <f>IF(AND(F44="",F32=""),"",IF(H32="","",IF(H44&lt;H32,F32,F44)))</f>
        <v>弓長　昇主</v>
      </c>
      <c r="I38" s="340"/>
      <c r="J38" s="338">
        <v>1</v>
      </c>
      <c r="K38" s="286"/>
      <c r="L38" s="275"/>
      <c r="M38" s="288"/>
      <c r="N38" s="288"/>
      <c r="O38" s="294"/>
    </row>
    <row r="39" spans="1:16" ht="2.25" customHeight="1">
      <c r="A39" s="280"/>
      <c r="B39" s="281"/>
      <c r="C39" s="280"/>
      <c r="D39" s="282"/>
      <c r="E39" s="289"/>
      <c r="G39" s="286"/>
      <c r="H39" s="341"/>
      <c r="I39" s="342"/>
      <c r="J39" s="338"/>
      <c r="K39" s="286"/>
      <c r="L39" s="275"/>
    </row>
    <row r="40" spans="1:16" ht="2.25" customHeight="1">
      <c r="A40" s="284"/>
      <c r="B40" s="285"/>
      <c r="C40" s="284"/>
      <c r="D40" s="282"/>
      <c r="E40" s="289"/>
      <c r="G40" s="286"/>
      <c r="H40" s="341"/>
      <c r="I40" s="342"/>
      <c r="J40" s="338"/>
      <c r="K40" s="286"/>
      <c r="L40" s="275"/>
    </row>
    <row r="41" spans="1:16" ht="7.5" customHeight="1">
      <c r="A41" s="353">
        <v>25</v>
      </c>
      <c r="B41" s="355" t="str">
        <f>IF(ISERROR(VLOOKUP(A41,ｼｰﾄﾞ!$A$6:$C$69,2,0)),"",VLOOKUP(A41,ｼｰﾄﾞ!$A$6:$C$69,2,0))</f>
        <v>愛工大付属</v>
      </c>
      <c r="C41" s="353" t="str">
        <f>IF(ISERROR(VLOOKUP(A41,ｼｰﾄﾞ!$A$6:$C$69,3,0)),"",VLOOKUP(A41,ｼｰﾄﾞ!$A$6:$C$69,3,0))</f>
        <v>弓長　昇主</v>
      </c>
      <c r="D41" s="274">
        <v>10</v>
      </c>
      <c r="E41" s="275"/>
      <c r="F41" s="276"/>
      <c r="G41" s="290"/>
      <c r="H41" s="343"/>
      <c r="I41" s="344"/>
      <c r="J41" s="338"/>
      <c r="K41" s="283"/>
      <c r="L41" s="275"/>
      <c r="M41" s="288"/>
      <c r="N41" s="288"/>
      <c r="O41" s="288"/>
      <c r="P41" s="288"/>
    </row>
    <row r="42" spans="1:16" ht="7.5" customHeight="1">
      <c r="A42" s="354"/>
      <c r="B42" s="356"/>
      <c r="C42" s="354"/>
      <c r="D42" s="339" t="str">
        <f>IF(B43="",C41,IF(D41="","",IF(D41&lt;D44,C43,C41)))</f>
        <v>弓長　昇主</v>
      </c>
      <c r="E42" s="340"/>
      <c r="F42" s="338">
        <v>10</v>
      </c>
      <c r="G42" s="290"/>
      <c r="I42" s="275"/>
      <c r="J42" s="275"/>
      <c r="K42" s="286"/>
      <c r="L42" s="275"/>
      <c r="N42" s="288"/>
      <c r="O42" s="288"/>
      <c r="P42" s="288"/>
    </row>
    <row r="43" spans="1:16" ht="7.5" customHeight="1">
      <c r="A43" s="354">
        <v>40</v>
      </c>
      <c r="B43" s="356" t="str">
        <f>IF(ISERROR(VLOOKUP(A43,ｼｰﾄﾞ!$A$6:$C$69,2,0)),"",VLOOKUP(A43,ｼｰﾄﾞ!$A$6:$C$69,2,0))</f>
        <v>速星中学校</v>
      </c>
      <c r="C43" s="354" t="str">
        <f>IF(ISERROR(VLOOKUP(A43,ｼｰﾄﾞ!$A$6:$C$69,3,0)),"",VLOOKUP(A43,ｼｰﾄﾞ!$A$6:$C$69,3,0))</f>
        <v>長畑　知大</v>
      </c>
      <c r="D43" s="343"/>
      <c r="E43" s="344"/>
      <c r="F43" s="338"/>
      <c r="G43" s="290"/>
      <c r="H43" s="275"/>
      <c r="I43" s="275"/>
      <c r="J43" s="275"/>
      <c r="K43" s="286"/>
      <c r="L43" s="275"/>
      <c r="N43" s="288"/>
      <c r="O43" s="288"/>
      <c r="P43" s="288"/>
    </row>
    <row r="44" spans="1:16" ht="7.5" customHeight="1">
      <c r="A44" s="357"/>
      <c r="B44" s="358"/>
      <c r="C44" s="357"/>
      <c r="D44" s="278">
        <v>0</v>
      </c>
      <c r="F44" s="339" t="str">
        <f>IF(AND(D48="",D42=""),"",IF(F42="","",IF(F42&lt;F48,D48,D42)))</f>
        <v>弓長　昇主</v>
      </c>
      <c r="G44" s="340"/>
      <c r="H44" s="338">
        <v>10</v>
      </c>
      <c r="J44" s="288"/>
      <c r="K44" s="293"/>
      <c r="L44" s="275"/>
      <c r="N44" s="288"/>
      <c r="O44" s="288"/>
      <c r="P44" s="288"/>
    </row>
    <row r="45" spans="1:16" ht="2.25" customHeight="1">
      <c r="A45" s="280"/>
      <c r="B45" s="281"/>
      <c r="C45" s="280"/>
      <c r="D45" s="282"/>
      <c r="E45" s="289"/>
      <c r="F45" s="341"/>
      <c r="G45" s="342"/>
      <c r="H45" s="338"/>
      <c r="J45" s="288"/>
      <c r="K45" s="286"/>
      <c r="L45" s="275"/>
    </row>
    <row r="46" spans="1:16" ht="2.25" customHeight="1">
      <c r="A46" s="284"/>
      <c r="B46" s="285"/>
      <c r="C46" s="284"/>
      <c r="D46" s="282"/>
      <c r="E46" s="289"/>
      <c r="F46" s="341"/>
      <c r="G46" s="342"/>
      <c r="H46" s="338"/>
      <c r="J46" s="288"/>
      <c r="K46" s="286"/>
      <c r="L46" s="275"/>
    </row>
    <row r="47" spans="1:16" ht="7.5" customHeight="1">
      <c r="A47" s="353">
        <v>57</v>
      </c>
      <c r="B47" s="355" t="str">
        <f>IF(ISERROR(VLOOKUP(A47,ｼｰﾄﾞ!$A$6:$C$69,2,0)),"",VLOOKUP(A47,ｼｰﾄﾞ!$A$6:$C$69,2,0))</f>
        <v/>
      </c>
      <c r="C47" s="353" t="str">
        <f>IF(ISERROR(VLOOKUP(A47,ｼｰﾄﾞ!$A$6:$C$69,3,0)),"",VLOOKUP(A47,ｼｰﾄﾞ!$A$6:$C$69,3,0))</f>
        <v/>
      </c>
      <c r="D47" s="274"/>
      <c r="E47" s="286"/>
      <c r="F47" s="343"/>
      <c r="G47" s="344"/>
      <c r="H47" s="338"/>
      <c r="I47" s="275"/>
      <c r="J47" s="275"/>
      <c r="K47" s="286"/>
      <c r="L47" s="275"/>
      <c r="N47" s="288"/>
      <c r="O47" s="288"/>
    </row>
    <row r="48" spans="1:16" ht="7.5" customHeight="1">
      <c r="A48" s="354"/>
      <c r="B48" s="356"/>
      <c r="C48" s="354"/>
      <c r="D48" s="339" t="str">
        <f>IF(B47="",C49,IF(D47="","",IF(D47&lt;D50,C49,C47)))</f>
        <v>石川　凌</v>
      </c>
      <c r="E48" s="340"/>
      <c r="F48" s="352">
        <v>2</v>
      </c>
      <c r="H48" s="275"/>
      <c r="I48" s="275"/>
      <c r="J48" s="275"/>
      <c r="K48" s="286"/>
      <c r="L48" s="275"/>
      <c r="N48" s="288"/>
      <c r="O48" s="288"/>
    </row>
    <row r="49" spans="1:16" ht="7.5" customHeight="1">
      <c r="A49" s="354">
        <v>8</v>
      </c>
      <c r="B49" s="356" t="str">
        <f>IF(ISERROR(VLOOKUP(A49,ｼｰﾄﾞ!$A$6:$C$69,2,0)),"",VLOOKUP(A49,ｼｰﾄﾞ!$A$6:$C$69,2,0))</f>
        <v>速星中学校</v>
      </c>
      <c r="C49" s="354" t="str">
        <f>IF(ISERROR(VLOOKUP(A49,ｼｰﾄﾞ!$A$6:$C$69,3,0)),"",VLOOKUP(A49,ｼｰﾄﾞ!$A$6:$C$69,3,0))</f>
        <v>石川　凌</v>
      </c>
      <c r="D49" s="343"/>
      <c r="E49" s="344"/>
      <c r="F49" s="338"/>
      <c r="G49" s="275"/>
      <c r="H49" s="275"/>
      <c r="I49" s="275"/>
      <c r="J49" s="275"/>
      <c r="K49" s="286"/>
      <c r="L49" s="275"/>
      <c r="N49" s="288"/>
      <c r="O49" s="288"/>
    </row>
    <row r="50" spans="1:16" ht="7.5" customHeight="1">
      <c r="A50" s="357"/>
      <c r="B50" s="358"/>
      <c r="C50" s="357"/>
      <c r="D50" s="278"/>
      <c r="E50" s="275"/>
      <c r="H50" s="275"/>
      <c r="I50" s="275"/>
      <c r="J50" s="275"/>
      <c r="K50" s="286"/>
      <c r="L50" s="339" t="str">
        <f>IF(AND(J74="",J26=""),"",IF(L26="","",IF(L74&lt;L26,J26,J74)))</f>
        <v/>
      </c>
      <c r="M50" s="340"/>
      <c r="N50" s="338"/>
      <c r="O50" s="288"/>
    </row>
    <row r="51" spans="1:16" ht="2.25" customHeight="1">
      <c r="A51" s="280"/>
      <c r="B51" s="281"/>
      <c r="C51" s="280"/>
      <c r="D51" s="282"/>
      <c r="E51" s="289"/>
      <c r="H51" s="275"/>
      <c r="J51" s="288"/>
      <c r="K51" s="286"/>
      <c r="L51" s="341"/>
      <c r="M51" s="342"/>
      <c r="N51" s="338"/>
    </row>
    <row r="52" spans="1:16" ht="2.25" customHeight="1">
      <c r="A52" s="284"/>
      <c r="B52" s="285"/>
      <c r="C52" s="284"/>
      <c r="D52" s="282"/>
      <c r="E52" s="289"/>
      <c r="H52" s="275"/>
      <c r="J52" s="288"/>
      <c r="K52" s="286"/>
      <c r="L52" s="341"/>
      <c r="M52" s="342"/>
      <c r="N52" s="338"/>
    </row>
    <row r="53" spans="1:16" ht="7.5" customHeight="1">
      <c r="A53" s="353">
        <v>5</v>
      </c>
      <c r="B53" s="355" t="str">
        <f>IF(ISERROR(VLOOKUP(A53,ｼｰﾄﾞ!$A$6:$C$69,2,0)),"",VLOOKUP(A53,ｼｰﾄﾞ!$A$6:$C$69,2,0))</f>
        <v>大垣クラブ</v>
      </c>
      <c r="C53" s="353" t="str">
        <f>IF(ISERROR(VLOOKUP(A53,ｼｰﾄﾞ!$A$6:$C$69,3,0)),"",VLOOKUP(A53,ｼｰﾄﾞ!$A$6:$C$69,3,0))</f>
        <v>國枝　契太</v>
      </c>
      <c r="D53" s="274"/>
      <c r="E53" s="275"/>
      <c r="F53" s="276"/>
      <c r="G53" s="276"/>
      <c r="H53" s="275"/>
      <c r="I53" s="275"/>
      <c r="J53" s="275"/>
      <c r="K53" s="286"/>
      <c r="L53" s="343"/>
      <c r="M53" s="344"/>
      <c r="N53" s="338"/>
      <c r="O53" s="288"/>
      <c r="P53" s="288"/>
    </row>
    <row r="54" spans="1:16" ht="7.5" customHeight="1">
      <c r="A54" s="354"/>
      <c r="B54" s="356"/>
      <c r="C54" s="354"/>
      <c r="D54" s="339" t="str">
        <f>IF(B55="",C53,IF(D53="","",IF(D53&lt;D56,C55,C53)))</f>
        <v>國枝　契太</v>
      </c>
      <c r="E54" s="340"/>
      <c r="F54" s="338">
        <v>5</v>
      </c>
      <c r="J54" s="275"/>
      <c r="K54" s="286"/>
      <c r="L54" s="275"/>
      <c r="M54" s="293"/>
      <c r="P54" s="288"/>
    </row>
    <row r="55" spans="1:16" ht="7.5" customHeight="1">
      <c r="A55" s="354">
        <v>60</v>
      </c>
      <c r="B55" s="356" t="str">
        <f>IF(ISERROR(VLOOKUP(A55,ｼｰﾄﾞ!$A$6:$C$69,2,0)),"",VLOOKUP(A55,ｼｰﾄﾞ!$A$6:$C$69,2,0))</f>
        <v/>
      </c>
      <c r="C55" s="354" t="str">
        <f>IF(ISERROR(VLOOKUP(A55,ｼｰﾄﾞ!$A$6:$C$69,3,0)),"",VLOOKUP(A55,ｼｰﾄﾞ!$A$6:$C$69,3,0))</f>
        <v/>
      </c>
      <c r="D55" s="343"/>
      <c r="E55" s="344"/>
      <c r="F55" s="338"/>
      <c r="J55" s="275"/>
      <c r="K55" s="286"/>
      <c r="L55" s="275"/>
      <c r="M55" s="286"/>
      <c r="P55" s="288"/>
    </row>
    <row r="56" spans="1:16" ht="7.5" customHeight="1">
      <c r="A56" s="357"/>
      <c r="B56" s="358"/>
      <c r="C56" s="357"/>
      <c r="D56" s="278"/>
      <c r="E56" s="279"/>
      <c r="F56" s="339" t="str">
        <f>IF(AND(D60="",D54=""),"",IF(F54="","",IF(F54&lt;F60,D60,D54)))</f>
        <v>藤野　正真</v>
      </c>
      <c r="G56" s="340"/>
      <c r="H56" s="338">
        <v>10</v>
      </c>
      <c r="I56" s="275"/>
      <c r="J56" s="275"/>
      <c r="K56" s="286"/>
      <c r="L56" s="275"/>
      <c r="M56" s="293"/>
      <c r="P56" s="288"/>
    </row>
    <row r="57" spans="1:16" ht="2.25" customHeight="1">
      <c r="A57" s="280"/>
      <c r="B57" s="281"/>
      <c r="C57" s="280"/>
      <c r="D57" s="282"/>
      <c r="E57" s="289"/>
      <c r="F57" s="341"/>
      <c r="G57" s="342"/>
      <c r="H57" s="338"/>
      <c r="J57" s="288"/>
      <c r="K57" s="286"/>
      <c r="L57" s="275"/>
      <c r="M57" s="293"/>
    </row>
    <row r="58" spans="1:16" ht="2.25" customHeight="1">
      <c r="A58" s="284"/>
      <c r="B58" s="285"/>
      <c r="C58" s="284"/>
      <c r="D58" s="282"/>
      <c r="E58" s="289"/>
      <c r="F58" s="341"/>
      <c r="G58" s="342"/>
      <c r="H58" s="338"/>
      <c r="J58" s="288"/>
      <c r="K58" s="286"/>
      <c r="L58" s="275"/>
      <c r="M58" s="293"/>
    </row>
    <row r="59" spans="1:16" ht="7.5" customHeight="1">
      <c r="A59" s="353">
        <v>37</v>
      </c>
      <c r="B59" s="355" t="str">
        <f>IF(ISERROR(VLOOKUP(A59,ｼｰﾄﾞ!$A$6:$C$69,2,0)),"",VLOOKUP(A59,ｼｰﾄﾞ!$A$6:$C$69,2,0))</f>
        <v>速星中学校</v>
      </c>
      <c r="C59" s="353" t="str">
        <f>IF(ISERROR(VLOOKUP(A59,ｼｰﾄﾞ!$A$6:$C$69,3,0)),"",VLOOKUP(A59,ｼｰﾄﾞ!$A$6:$C$69,3,0))</f>
        <v>山崎　竜聖</v>
      </c>
      <c r="D59" s="274">
        <v>5</v>
      </c>
      <c r="E59" s="286"/>
      <c r="F59" s="343"/>
      <c r="G59" s="344"/>
      <c r="H59" s="338"/>
      <c r="J59" s="288"/>
      <c r="K59" s="293"/>
      <c r="L59" s="275"/>
      <c r="M59" s="293"/>
    </row>
    <row r="60" spans="1:16" ht="7.5" customHeight="1">
      <c r="A60" s="354"/>
      <c r="B60" s="356"/>
      <c r="C60" s="354"/>
      <c r="D60" s="339" t="str">
        <f>IF(B59="",C61,IF(D59="","",IF(D59&lt;D62,C61,C59)))</f>
        <v>藤野　正真</v>
      </c>
      <c r="E60" s="340"/>
      <c r="F60" s="338">
        <v>10</v>
      </c>
      <c r="G60" s="287"/>
      <c r="J60" s="288"/>
      <c r="K60" s="293"/>
      <c r="L60" s="275"/>
      <c r="M60" s="293"/>
    </row>
    <row r="61" spans="1:16" ht="7.5" customHeight="1">
      <c r="A61" s="354">
        <v>28</v>
      </c>
      <c r="B61" s="356" t="str">
        <f>IF(ISERROR(VLOOKUP(A61,ｼｰﾄﾞ!$A$6:$C$69,2,0)),"",VLOOKUP(A61,ｼｰﾄﾞ!$A$6:$C$69,2,0))</f>
        <v>富山パレス</v>
      </c>
      <c r="C61" s="354" t="str">
        <f>IF(ISERROR(VLOOKUP(A61,ｼｰﾄﾞ!$A$6:$C$69,3,0)),"",VLOOKUP(A61,ｼｰﾄﾞ!$A$6:$C$69,3,0))</f>
        <v>藤野　正真</v>
      </c>
      <c r="D61" s="343"/>
      <c r="E61" s="344"/>
      <c r="F61" s="338"/>
      <c r="G61" s="286"/>
      <c r="J61" s="275"/>
      <c r="K61" s="286"/>
      <c r="L61" s="275"/>
      <c r="M61" s="293"/>
    </row>
    <row r="62" spans="1:16" ht="7.5" customHeight="1">
      <c r="A62" s="357"/>
      <c r="B62" s="358"/>
      <c r="C62" s="357"/>
      <c r="D62" s="278">
        <v>10</v>
      </c>
      <c r="G62" s="286"/>
      <c r="H62" s="339" t="str">
        <f>IF(AND(F68="",F56=""),"",IF(H56="","",IF(H68&lt;H56,F56,F68)))</f>
        <v>藤野　正真</v>
      </c>
      <c r="I62" s="340"/>
      <c r="J62" s="346">
        <v>5</v>
      </c>
      <c r="K62" s="286"/>
      <c r="L62" s="275"/>
      <c r="M62" s="293"/>
    </row>
    <row r="63" spans="1:16" ht="2.25" customHeight="1">
      <c r="A63" s="280"/>
      <c r="B63" s="281"/>
      <c r="C63" s="280"/>
      <c r="D63" s="282"/>
      <c r="E63" s="289"/>
      <c r="G63" s="286"/>
      <c r="H63" s="341"/>
      <c r="I63" s="342"/>
      <c r="J63" s="346"/>
      <c r="K63" s="286"/>
      <c r="L63" s="275"/>
      <c r="M63" s="293"/>
    </row>
    <row r="64" spans="1:16" ht="2.25" customHeight="1">
      <c r="A64" s="284"/>
      <c r="B64" s="285"/>
      <c r="C64" s="284"/>
      <c r="D64" s="282"/>
      <c r="E64" s="289"/>
      <c r="G64" s="286"/>
      <c r="H64" s="341"/>
      <c r="I64" s="342"/>
      <c r="J64" s="346"/>
      <c r="K64" s="286"/>
      <c r="L64" s="275"/>
      <c r="M64" s="293"/>
    </row>
    <row r="65" spans="1:16" ht="7.5" customHeight="1">
      <c r="A65" s="353">
        <v>21</v>
      </c>
      <c r="B65" s="355" t="str">
        <f>IF(ISERROR(VLOOKUP(A65,ｼｰﾄﾞ!$A$6:$C$69,2,0)),"",VLOOKUP(A65,ｼｰﾄﾞ!$A$6:$C$69,2,0))</f>
        <v>滋賀ＪＦＣ</v>
      </c>
      <c r="C65" s="353" t="str">
        <f>IF(ISERROR(VLOOKUP(A65,ｼｰﾄﾞ!$A$6:$C$69,3,0)),"",VLOOKUP(A65,ｼｰﾄﾞ!$A$6:$C$69,3,0))</f>
        <v>保知　純乃介</v>
      </c>
      <c r="D65" s="274">
        <v>9</v>
      </c>
      <c r="E65" s="275"/>
      <c r="F65" s="276"/>
      <c r="G65" s="290"/>
      <c r="H65" s="343"/>
      <c r="I65" s="344"/>
      <c r="J65" s="346"/>
      <c r="K65" s="286"/>
      <c r="L65" s="275"/>
      <c r="M65" s="293"/>
    </row>
    <row r="66" spans="1:16" ht="7.5" customHeight="1">
      <c r="A66" s="354"/>
      <c r="B66" s="356"/>
      <c r="C66" s="354"/>
      <c r="D66" s="339" t="str">
        <f>IF(B67="",C65,IF(D65="","",IF(D65&lt;D68,C67,C65)))</f>
        <v>北川　虎侑</v>
      </c>
      <c r="E66" s="340"/>
      <c r="F66" s="338">
        <v>7</v>
      </c>
      <c r="G66" s="290"/>
      <c r="I66" s="286"/>
      <c r="J66" s="275"/>
      <c r="K66" s="286"/>
      <c r="L66" s="275"/>
      <c r="M66" s="293"/>
    </row>
    <row r="67" spans="1:16" ht="7.5" customHeight="1">
      <c r="A67" s="354">
        <v>44</v>
      </c>
      <c r="B67" s="356" t="str">
        <f>IF(ISERROR(VLOOKUP(A67,ｼｰﾄﾞ!$A$6:$C$69,2,0)),"",VLOOKUP(A67,ｼｰﾄﾞ!$A$6:$C$69,2,0))</f>
        <v>養老ＦＣ</v>
      </c>
      <c r="C67" s="354" t="str">
        <f>IF(ISERROR(VLOOKUP(A67,ｼｰﾄﾞ!$A$6:$C$69,3,0)),"",VLOOKUP(A67,ｼｰﾄﾞ!$A$6:$C$69,3,0))</f>
        <v>北川　虎侑</v>
      </c>
      <c r="D67" s="343"/>
      <c r="E67" s="344"/>
      <c r="F67" s="338"/>
      <c r="G67" s="290"/>
      <c r="I67" s="286"/>
      <c r="J67" s="275"/>
      <c r="K67" s="286"/>
      <c r="L67" s="275"/>
      <c r="M67" s="293"/>
    </row>
    <row r="68" spans="1:16" ht="7.5" customHeight="1">
      <c r="A68" s="357"/>
      <c r="B68" s="358"/>
      <c r="C68" s="357"/>
      <c r="D68" s="278">
        <v>10</v>
      </c>
      <c r="F68" s="339" t="str">
        <f>IF(AND(D72="",D66=""),"",IF(F66="","",IF(F66&lt;F72,D72,D66)))</f>
        <v>保科　幸作</v>
      </c>
      <c r="G68" s="340"/>
      <c r="H68" s="338">
        <v>4</v>
      </c>
      <c r="I68" s="286"/>
      <c r="J68" s="288"/>
      <c r="K68" s="293"/>
      <c r="L68" s="275"/>
      <c r="M68" s="293"/>
    </row>
    <row r="69" spans="1:16" ht="2.25" customHeight="1">
      <c r="A69" s="280"/>
      <c r="B69" s="281"/>
      <c r="C69" s="280"/>
      <c r="D69" s="282"/>
      <c r="E69" s="289"/>
      <c r="F69" s="341"/>
      <c r="G69" s="342"/>
      <c r="H69" s="338"/>
      <c r="I69" s="286"/>
      <c r="J69" s="288"/>
      <c r="K69" s="286"/>
      <c r="L69" s="275"/>
      <c r="M69" s="293"/>
    </row>
    <row r="70" spans="1:16" ht="2.25" customHeight="1">
      <c r="A70" s="284"/>
      <c r="B70" s="285"/>
      <c r="C70" s="284"/>
      <c r="D70" s="282"/>
      <c r="E70" s="289"/>
      <c r="F70" s="341"/>
      <c r="G70" s="342"/>
      <c r="H70" s="338"/>
      <c r="I70" s="286"/>
      <c r="J70" s="288"/>
      <c r="K70" s="286"/>
      <c r="L70" s="275"/>
      <c r="M70" s="293"/>
    </row>
    <row r="71" spans="1:16" ht="7.5" customHeight="1">
      <c r="A71" s="353">
        <v>53</v>
      </c>
      <c r="B71" s="355" t="str">
        <f>IF(ISERROR(VLOOKUP(A71,ｼｰﾄﾞ!$A$6:$C$69,2,0)),"",VLOOKUP(A71,ｼｰﾄﾞ!$A$6:$C$69,2,0))</f>
        <v/>
      </c>
      <c r="C71" s="353" t="str">
        <f>IF(ISERROR(VLOOKUP(A71,ｼｰﾄﾞ!$A$6:$C$69,3,0)),"",VLOOKUP(A71,ｼｰﾄﾞ!$A$6:$C$69,3,0))</f>
        <v/>
      </c>
      <c r="D71" s="274"/>
      <c r="E71" s="286"/>
      <c r="F71" s="343"/>
      <c r="G71" s="344"/>
      <c r="H71" s="338"/>
      <c r="I71" s="286"/>
      <c r="J71" s="275"/>
      <c r="K71" s="286"/>
      <c r="L71" s="275"/>
      <c r="M71" s="293"/>
    </row>
    <row r="72" spans="1:16" ht="7.5" customHeight="1">
      <c r="A72" s="354"/>
      <c r="B72" s="356"/>
      <c r="C72" s="354"/>
      <c r="D72" s="339" t="str">
        <f>IF(B71="",C73,IF(D71="","",IF(D71&lt;D74,C73,C71)))</f>
        <v>保科　幸作</v>
      </c>
      <c r="E72" s="340"/>
      <c r="F72" s="352">
        <v>10</v>
      </c>
      <c r="I72" s="286"/>
      <c r="J72" s="275"/>
      <c r="K72" s="286"/>
      <c r="L72" s="275"/>
      <c r="M72" s="293"/>
    </row>
    <row r="73" spans="1:16" ht="7.5" customHeight="1">
      <c r="A73" s="354">
        <v>12</v>
      </c>
      <c r="B73" s="356" t="str">
        <f>IF(ISERROR(VLOOKUP(A73,ｼｰﾄﾞ!$A$6:$C$69,2,0)),"",VLOOKUP(A73,ｼｰﾄﾞ!$A$6:$C$69,2,0))</f>
        <v>南箕輪わくわく</v>
      </c>
      <c r="C73" s="354" t="str">
        <f>IF(ISERROR(VLOOKUP(A73,ｼｰﾄﾞ!$A$6:$C$69,3,0)),"",VLOOKUP(A73,ｼｰﾄﾞ!$A$6:$C$69,3,0))</f>
        <v>保科　幸作</v>
      </c>
      <c r="D73" s="343"/>
      <c r="E73" s="344"/>
      <c r="F73" s="338"/>
      <c r="G73" s="275"/>
      <c r="H73" s="275"/>
      <c r="I73" s="286"/>
      <c r="J73" s="275"/>
      <c r="K73" s="286"/>
      <c r="L73" s="275"/>
      <c r="M73" s="293"/>
      <c r="N73" s="289"/>
      <c r="O73" s="289"/>
      <c r="P73" s="288"/>
    </row>
    <row r="74" spans="1:16" ht="7.5" customHeight="1">
      <c r="A74" s="357"/>
      <c r="B74" s="358"/>
      <c r="C74" s="357"/>
      <c r="D74" s="278"/>
      <c r="E74" s="275"/>
      <c r="H74" s="275"/>
      <c r="I74" s="286"/>
      <c r="J74" s="339" t="str">
        <f>IF(AND(H86="",H62=""),"",IF(J62="","",IF(J86&lt;J62,H62,H86)))</f>
        <v>鈴木　統吾</v>
      </c>
      <c r="K74" s="340"/>
      <c r="L74" s="346"/>
      <c r="M74" s="293"/>
    </row>
    <row r="75" spans="1:16" ht="2.25" customHeight="1">
      <c r="A75" s="280"/>
      <c r="B75" s="281"/>
      <c r="C75" s="280"/>
      <c r="D75" s="282"/>
      <c r="E75" s="289"/>
      <c r="H75" s="275"/>
      <c r="I75" s="286"/>
      <c r="J75" s="341"/>
      <c r="K75" s="342"/>
      <c r="L75" s="346"/>
      <c r="M75" s="293"/>
    </row>
    <row r="76" spans="1:16" ht="2.25" customHeight="1">
      <c r="A76" s="284"/>
      <c r="B76" s="285"/>
      <c r="C76" s="284"/>
      <c r="D76" s="282"/>
      <c r="E76" s="289"/>
      <c r="H76" s="275"/>
      <c r="I76" s="286"/>
      <c r="J76" s="341"/>
      <c r="K76" s="342"/>
      <c r="L76" s="346"/>
      <c r="M76" s="293"/>
    </row>
    <row r="77" spans="1:16" ht="7.5" customHeight="1">
      <c r="A77" s="353">
        <v>13</v>
      </c>
      <c r="B77" s="355" t="str">
        <f>IF(ISERROR(VLOOKUP(A77,ｼｰﾄﾞ!$A$6:$C$69,2,0)),"",VLOOKUP(A77,ｼｰﾄﾞ!$A$6:$C$69,2,0))</f>
        <v>はしまモア</v>
      </c>
      <c r="C77" s="353" t="str">
        <f>IF(ISERROR(VLOOKUP(A77,ｼｰﾄﾞ!$A$6:$C$69,3,0)),"",VLOOKUP(A77,ｼｰﾄﾞ!$A$6:$C$69,3,0))</f>
        <v>奥田　玲大</v>
      </c>
      <c r="D77" s="274"/>
      <c r="E77" s="275"/>
      <c r="F77" s="276"/>
      <c r="G77" s="276"/>
      <c r="H77" s="275"/>
      <c r="I77" s="286"/>
      <c r="J77" s="343"/>
      <c r="K77" s="344"/>
      <c r="L77" s="346"/>
      <c r="M77" s="293"/>
    </row>
    <row r="78" spans="1:16" ht="7.5" customHeight="1">
      <c r="A78" s="354"/>
      <c r="B78" s="356"/>
      <c r="C78" s="354"/>
      <c r="D78" s="339" t="str">
        <f>IF(B79="",C77,IF(D77="","",IF(D77&lt;D80,C79,C77)))</f>
        <v>奥田　玲大</v>
      </c>
      <c r="E78" s="340"/>
      <c r="F78" s="338">
        <v>10</v>
      </c>
      <c r="H78" s="275"/>
      <c r="I78" s="286"/>
      <c r="K78" s="275"/>
      <c r="L78" s="275"/>
      <c r="M78" s="293"/>
    </row>
    <row r="79" spans="1:16" ht="7.5" customHeight="1">
      <c r="A79" s="354">
        <v>52</v>
      </c>
      <c r="B79" s="356" t="str">
        <f>IF(ISERROR(VLOOKUP(A79,ｼｰﾄﾞ!$A$6:$C$69,2,0)),"",VLOOKUP(A79,ｼｰﾄﾞ!$A$6:$C$69,2,0))</f>
        <v/>
      </c>
      <c r="C79" s="354" t="str">
        <f>IF(ISERROR(VLOOKUP(A79,ｼｰﾄﾞ!$A$6:$C$69,3,0)),"",VLOOKUP(A79,ｼｰﾄﾞ!$A$6:$C$69,3,0))</f>
        <v/>
      </c>
      <c r="D79" s="343"/>
      <c r="E79" s="344"/>
      <c r="F79" s="338"/>
      <c r="I79" s="286"/>
      <c r="J79" s="275"/>
      <c r="K79" s="275"/>
      <c r="L79" s="275"/>
      <c r="M79" s="293"/>
    </row>
    <row r="80" spans="1:16" ht="7.5" customHeight="1">
      <c r="A80" s="357"/>
      <c r="B80" s="358"/>
      <c r="C80" s="357"/>
      <c r="D80" s="278"/>
      <c r="E80" s="279"/>
      <c r="F80" s="339" t="str">
        <f>IF(AND(D84="",D78=""),"",IF(F78="","",IF(F78&lt;F84,D84,D78)))</f>
        <v>奥田　玲大</v>
      </c>
      <c r="G80" s="340"/>
      <c r="H80" s="338">
        <v>8</v>
      </c>
      <c r="I80" s="286"/>
      <c r="J80" s="275"/>
      <c r="K80" s="275"/>
      <c r="L80" s="275"/>
      <c r="M80" s="293"/>
    </row>
    <row r="81" spans="1:13" ht="2.25" customHeight="1">
      <c r="A81" s="280"/>
      <c r="B81" s="281"/>
      <c r="C81" s="280"/>
      <c r="D81" s="282"/>
      <c r="E81" s="289"/>
      <c r="F81" s="341"/>
      <c r="G81" s="342"/>
      <c r="H81" s="338"/>
      <c r="I81" s="286"/>
      <c r="J81" s="275"/>
      <c r="K81" s="275"/>
      <c r="L81" s="275"/>
      <c r="M81" s="293"/>
    </row>
    <row r="82" spans="1:13" ht="2.25" customHeight="1">
      <c r="A82" s="284"/>
      <c r="B82" s="285"/>
      <c r="C82" s="284"/>
      <c r="D82" s="282"/>
      <c r="E82" s="289"/>
      <c r="F82" s="341"/>
      <c r="G82" s="342"/>
      <c r="H82" s="338"/>
      <c r="I82" s="286"/>
      <c r="J82" s="275"/>
      <c r="K82" s="275"/>
      <c r="L82" s="275"/>
      <c r="M82" s="293"/>
    </row>
    <row r="83" spans="1:13" ht="7.5" customHeight="1">
      <c r="A83" s="353">
        <v>45</v>
      </c>
      <c r="B83" s="355" t="str">
        <f>IF(ISERROR(VLOOKUP(A83,ｼｰﾄﾞ!$A$6:$C$69,2,0)),"",VLOOKUP(A83,ｼｰﾄﾞ!$A$6:$C$69,2,0))</f>
        <v>速星中学校</v>
      </c>
      <c r="C83" s="353" t="str">
        <f>IF(ISERROR(VLOOKUP(A83,ｼｰﾄﾞ!$A$6:$C$69,3,0)),"",VLOOKUP(A83,ｼｰﾄﾞ!$A$6:$C$69,3,0))</f>
        <v>細川　唯人</v>
      </c>
      <c r="D83" s="274">
        <v>0</v>
      </c>
      <c r="E83" s="286"/>
      <c r="F83" s="343"/>
      <c r="G83" s="344"/>
      <c r="H83" s="338"/>
      <c r="I83" s="286"/>
      <c r="J83" s="288"/>
      <c r="K83" s="288"/>
      <c r="L83" s="275"/>
      <c r="M83" s="293"/>
    </row>
    <row r="84" spans="1:13" ht="7.5" customHeight="1">
      <c r="A84" s="354"/>
      <c r="B84" s="356"/>
      <c r="C84" s="354"/>
      <c r="D84" s="339" t="str">
        <f>IF(B83="",C85,IF(D83="","",IF(D83&lt;D86,C85,C83)))</f>
        <v>古市　直大</v>
      </c>
      <c r="E84" s="340"/>
      <c r="F84" s="338">
        <v>8</v>
      </c>
      <c r="G84" s="287"/>
      <c r="I84" s="286"/>
      <c r="J84" s="288"/>
      <c r="K84" s="288"/>
      <c r="L84" s="275"/>
      <c r="M84" s="293"/>
    </row>
    <row r="85" spans="1:13" ht="7.5" customHeight="1">
      <c r="A85" s="354">
        <v>20</v>
      </c>
      <c r="B85" s="356" t="str">
        <f>IF(ISERROR(VLOOKUP(A85,ｼｰﾄﾞ!$A$6:$C$69,2,0)),"",VLOOKUP(A85,ｼｰﾄﾞ!$A$6:$C$69,2,0))</f>
        <v>アレ　フェンシング</v>
      </c>
      <c r="C85" s="354" t="str">
        <f>IF(ISERROR(VLOOKUP(A85,ｼｰﾄﾞ!$A$6:$C$69,3,0)),"",VLOOKUP(A85,ｼｰﾄﾞ!$A$6:$C$69,3,0))</f>
        <v>古市　直大</v>
      </c>
      <c r="D85" s="343"/>
      <c r="E85" s="344"/>
      <c r="F85" s="338"/>
      <c r="G85" s="286"/>
      <c r="H85" s="275"/>
      <c r="I85" s="286"/>
      <c r="J85" s="275"/>
      <c r="K85" s="275"/>
      <c r="L85" s="275"/>
      <c r="M85" s="293"/>
    </row>
    <row r="86" spans="1:13" ht="7.5" customHeight="1">
      <c r="A86" s="357"/>
      <c r="B86" s="358"/>
      <c r="C86" s="357"/>
      <c r="D86" s="278">
        <v>1</v>
      </c>
      <c r="G86" s="286"/>
      <c r="H86" s="339" t="str">
        <f>IF(AND(F92="",F80=""),"",IF(H80="","",IF(H92&lt;H80,F80,F92)))</f>
        <v>鈴木　統吾</v>
      </c>
      <c r="I86" s="340"/>
      <c r="J86" s="346">
        <v>10</v>
      </c>
      <c r="K86" s="275"/>
      <c r="L86" s="275"/>
      <c r="M86" s="293"/>
    </row>
    <row r="87" spans="1:13" ht="2.25" customHeight="1">
      <c r="A87" s="280"/>
      <c r="B87" s="281"/>
      <c r="C87" s="280"/>
      <c r="D87" s="282"/>
      <c r="E87" s="289"/>
      <c r="G87" s="286"/>
      <c r="H87" s="341"/>
      <c r="I87" s="342"/>
      <c r="J87" s="346"/>
      <c r="K87" s="275"/>
      <c r="L87" s="275"/>
      <c r="M87" s="293"/>
    </row>
    <row r="88" spans="1:13" ht="2.25" customHeight="1">
      <c r="A88" s="284"/>
      <c r="B88" s="285"/>
      <c r="C88" s="284"/>
      <c r="D88" s="282"/>
      <c r="E88" s="289"/>
      <c r="G88" s="286"/>
      <c r="H88" s="341"/>
      <c r="I88" s="342"/>
      <c r="J88" s="346"/>
      <c r="K88" s="275"/>
      <c r="L88" s="275"/>
      <c r="M88" s="293"/>
    </row>
    <row r="89" spans="1:13" ht="7.5" customHeight="1">
      <c r="A89" s="353">
        <v>29</v>
      </c>
      <c r="B89" s="355" t="str">
        <f>IF(ISERROR(VLOOKUP(A89,ｼｰﾄﾞ!$A$6:$C$69,2,0)),"",VLOOKUP(A89,ｼｰﾄﾞ!$A$6:$C$69,2,0))</f>
        <v>富山パレス</v>
      </c>
      <c r="C89" s="353" t="str">
        <f>IF(ISERROR(VLOOKUP(A89,ｼｰﾄﾞ!$A$6:$C$69,3,0)),"",VLOOKUP(A89,ｼｰﾄﾞ!$A$6:$C$69,3,0))</f>
        <v>篠田　真吾</v>
      </c>
      <c r="D89" s="274">
        <v>10</v>
      </c>
      <c r="E89" s="275"/>
      <c r="F89" s="276"/>
      <c r="G89" s="290"/>
      <c r="H89" s="343"/>
      <c r="I89" s="344"/>
      <c r="J89" s="346"/>
      <c r="K89" s="275"/>
      <c r="L89" s="275"/>
      <c r="M89" s="293"/>
    </row>
    <row r="90" spans="1:13" ht="7.5" customHeight="1">
      <c r="A90" s="354"/>
      <c r="B90" s="356"/>
      <c r="C90" s="354"/>
      <c r="D90" s="339" t="str">
        <f>IF(B91="",C89,IF(D89="","",IF(D89&lt;D92,C91,C89)))</f>
        <v>篠田　真吾</v>
      </c>
      <c r="E90" s="340"/>
      <c r="F90" s="338">
        <v>1</v>
      </c>
      <c r="G90" s="290"/>
      <c r="I90" s="275"/>
      <c r="J90" s="275"/>
      <c r="K90" s="275"/>
      <c r="L90" s="276"/>
      <c r="M90" s="293"/>
    </row>
    <row r="91" spans="1:13" ht="7.5" customHeight="1">
      <c r="A91" s="354">
        <v>36</v>
      </c>
      <c r="B91" s="356" t="str">
        <f>IF(ISERROR(VLOOKUP(A91,ｼｰﾄﾞ!$A$6:$C$69,2,0)),"",VLOOKUP(A91,ｼｰﾄﾞ!$A$6:$C$69,2,0))</f>
        <v>速星中学校</v>
      </c>
      <c r="C91" s="354" t="str">
        <f>IF(ISERROR(VLOOKUP(A91,ｼｰﾄﾞ!$A$6:$C$69,3,0)),"",VLOOKUP(A91,ｼｰﾄﾞ!$A$6:$C$69,3,0))</f>
        <v>飯田　龍基</v>
      </c>
      <c r="D91" s="343"/>
      <c r="E91" s="344"/>
      <c r="F91" s="338"/>
      <c r="G91" s="290"/>
      <c r="H91" s="275"/>
      <c r="I91" s="275"/>
      <c r="L91" s="276"/>
      <c r="M91" s="293"/>
    </row>
    <row r="92" spans="1:13" ht="7.5" customHeight="1">
      <c r="A92" s="357"/>
      <c r="B92" s="358"/>
      <c r="C92" s="357"/>
      <c r="D92" s="278">
        <v>9</v>
      </c>
      <c r="F92" s="339" t="str">
        <f>IF(AND(D96="",D90=""),"",IF(F90="","",IF(F90&lt;F96,D96,D90)))</f>
        <v>鈴木　統吾</v>
      </c>
      <c r="G92" s="340"/>
      <c r="H92" s="338">
        <v>10</v>
      </c>
      <c r="L92" s="276"/>
      <c r="M92" s="293"/>
    </row>
    <row r="93" spans="1:13" ht="2.25" customHeight="1">
      <c r="A93" s="280"/>
      <c r="B93" s="281"/>
      <c r="C93" s="280"/>
      <c r="D93" s="282"/>
      <c r="E93" s="289"/>
      <c r="F93" s="341"/>
      <c r="G93" s="342"/>
      <c r="H93" s="338"/>
      <c r="K93" s="275"/>
      <c r="L93" s="275"/>
      <c r="M93" s="293"/>
    </row>
    <row r="94" spans="1:13" ht="2.25" customHeight="1">
      <c r="A94" s="284"/>
      <c r="B94" s="285"/>
      <c r="C94" s="284"/>
      <c r="D94" s="282"/>
      <c r="E94" s="289"/>
      <c r="F94" s="341"/>
      <c r="G94" s="342"/>
      <c r="H94" s="338"/>
      <c r="K94" s="275"/>
      <c r="L94" s="275"/>
      <c r="M94" s="293"/>
    </row>
    <row r="95" spans="1:13" ht="7.5" customHeight="1">
      <c r="A95" s="353">
        <v>61</v>
      </c>
      <c r="B95" s="355" t="str">
        <f>IF(ISERROR(VLOOKUP(A95,ｼｰﾄﾞ!$A$6:$C$69,2,0)),"",VLOOKUP(A95,ｼｰﾄﾞ!$A$6:$C$69,2,0))</f>
        <v/>
      </c>
      <c r="C95" s="353" t="str">
        <f>IF(ISERROR(VLOOKUP(A95,ｼｰﾄﾞ!$A$6:$C$69,3,0)),"",VLOOKUP(A95,ｼｰﾄﾞ!$A$6:$C$69,3,0))</f>
        <v/>
      </c>
      <c r="D95" s="274"/>
      <c r="E95" s="286"/>
      <c r="F95" s="343"/>
      <c r="G95" s="344"/>
      <c r="H95" s="338"/>
      <c r="I95" s="275"/>
      <c r="J95" s="275"/>
      <c r="K95" s="275"/>
      <c r="L95" s="276"/>
      <c r="M95" s="293"/>
    </row>
    <row r="96" spans="1:13" ht="7.5" customHeight="1">
      <c r="A96" s="354"/>
      <c r="B96" s="356"/>
      <c r="C96" s="354"/>
      <c r="D96" s="339" t="str">
        <f>IF(B95="",C97,IF(D95="","",IF(D95&lt;D98,C97,C95)))</f>
        <v>鈴木　統吾</v>
      </c>
      <c r="E96" s="340"/>
      <c r="F96" s="352">
        <v>10</v>
      </c>
      <c r="H96" s="275"/>
      <c r="I96" s="275"/>
      <c r="J96" s="275"/>
      <c r="K96" s="275"/>
      <c r="L96" s="276"/>
      <c r="M96" s="293"/>
    </row>
    <row r="97" spans="1:20" ht="7.5" customHeight="1">
      <c r="A97" s="354">
        <v>4</v>
      </c>
      <c r="B97" s="356" t="str">
        <f>IF(ISERROR(VLOOKUP(A97,ｼｰﾄﾞ!$A$6:$C$69,2,0)),"",VLOOKUP(A97,ｼｰﾄﾞ!$A$6:$C$69,2,0))</f>
        <v>ワセダクラブ</v>
      </c>
      <c r="C97" s="354" t="str">
        <f>IF(ISERROR(VLOOKUP(A97,ｼｰﾄﾞ!$A$6:$C$69,3,0)),"",VLOOKUP(A97,ｼｰﾄﾞ!$A$6:$C$69,3,0))</f>
        <v>鈴木　統吾</v>
      </c>
      <c r="D97" s="343">
        <v>2</v>
      </c>
      <c r="E97" s="344"/>
      <c r="F97" s="338"/>
      <c r="G97" s="275"/>
      <c r="H97" s="275"/>
      <c r="I97" s="275"/>
      <c r="J97" s="275"/>
      <c r="K97" s="275"/>
      <c r="L97" s="276"/>
      <c r="M97" s="295"/>
    </row>
    <row r="98" spans="1:20" ht="7.5" customHeight="1">
      <c r="A98" s="357"/>
      <c r="B98" s="358"/>
      <c r="C98" s="357"/>
      <c r="D98" s="278"/>
      <c r="E98" s="275"/>
      <c r="H98" s="275"/>
      <c r="I98" s="275"/>
      <c r="J98" s="275"/>
      <c r="K98" s="275"/>
      <c r="L98" s="276"/>
      <c r="M98" s="293"/>
      <c r="N98" s="339" t="str">
        <f>IF(AND(L146="",L50=""),"",IF(N50="","",IF(N146&lt;N50,L50,L146)))</f>
        <v/>
      </c>
      <c r="O98" s="340"/>
      <c r="P98" s="345" t="s">
        <v>33</v>
      </c>
    </row>
    <row r="99" spans="1:20" ht="2.25" customHeight="1">
      <c r="A99" s="280"/>
      <c r="B99" s="281"/>
      <c r="C99" s="280"/>
      <c r="D99" s="282"/>
      <c r="E99" s="289"/>
      <c r="H99" s="275"/>
      <c r="K99" s="275"/>
      <c r="L99" s="275"/>
      <c r="M99" s="293"/>
      <c r="N99" s="341"/>
      <c r="O99" s="342"/>
      <c r="P99" s="345"/>
    </row>
    <row r="100" spans="1:20" ht="2.25" customHeight="1">
      <c r="A100" s="284"/>
      <c r="B100" s="285"/>
      <c r="C100" s="284"/>
      <c r="D100" s="282"/>
      <c r="E100" s="289"/>
      <c r="H100" s="275"/>
      <c r="K100" s="275"/>
      <c r="L100" s="275"/>
      <c r="M100" s="293"/>
      <c r="N100" s="341"/>
      <c r="O100" s="342"/>
      <c r="P100" s="345"/>
    </row>
    <row r="101" spans="1:20" ht="7.5" customHeight="1">
      <c r="A101" s="353">
        <v>3</v>
      </c>
      <c r="B101" s="355" t="str">
        <f>IF(ISERROR(VLOOKUP(A101,ｼｰﾄﾞ!$A$6:$C$69,2,0)),"",VLOOKUP(A101,ｼｰﾄﾞ!$A$6:$C$69,2,0))</f>
        <v>はしまモア</v>
      </c>
      <c r="C101" s="353" t="str">
        <f>IF(ISERROR(VLOOKUP(A101,ｼｰﾄﾞ!$A$6:$C$69,3,0)),"",VLOOKUP(A101,ｼｰﾄﾞ!$A$6:$C$69,3,0))</f>
        <v>田内　稜大</v>
      </c>
      <c r="D101" s="274"/>
      <c r="E101" s="275"/>
      <c r="F101" s="276"/>
      <c r="G101" s="276"/>
      <c r="H101" s="275"/>
      <c r="I101" s="275"/>
      <c r="J101" s="275"/>
      <c r="K101" s="275"/>
      <c r="L101" s="296"/>
      <c r="M101" s="293"/>
      <c r="N101" s="343"/>
      <c r="O101" s="344"/>
      <c r="P101" s="345"/>
      <c r="Q101" s="288"/>
      <c r="R101" s="288"/>
      <c r="S101" s="288"/>
      <c r="T101" s="288"/>
    </row>
    <row r="102" spans="1:20" ht="7.5" customHeight="1">
      <c r="A102" s="354"/>
      <c r="B102" s="356"/>
      <c r="C102" s="354"/>
      <c r="D102" s="339" t="str">
        <f>IF(B103="",C101,IF(D101="","",IF(D101&lt;D104,C103,C101)))</f>
        <v>田内　稜大</v>
      </c>
      <c r="E102" s="340"/>
      <c r="F102" s="338">
        <v>10</v>
      </c>
      <c r="J102" s="275"/>
      <c r="K102" s="275"/>
      <c r="L102" s="296"/>
      <c r="M102" s="293"/>
      <c r="Q102" s="288"/>
      <c r="R102" s="288"/>
      <c r="S102" s="288"/>
      <c r="T102" s="288"/>
    </row>
    <row r="103" spans="1:20" ht="7.5" customHeight="1">
      <c r="A103" s="354">
        <v>62</v>
      </c>
      <c r="B103" s="356" t="str">
        <f>IF(ISERROR(VLOOKUP(A103,ｼｰﾄﾞ!$A$6:$C$69,2,0)),"",VLOOKUP(A103,ｼｰﾄﾞ!$A$6:$C$69,2,0))</f>
        <v/>
      </c>
      <c r="C103" s="354" t="str">
        <f>IF(ISERROR(VLOOKUP(A103,ｼｰﾄﾞ!$A$6:$C$69,3,0)),"",VLOOKUP(A103,ｼｰﾄﾞ!$A$6:$C$69,3,0))</f>
        <v/>
      </c>
      <c r="D103" s="343"/>
      <c r="E103" s="344"/>
      <c r="F103" s="338"/>
      <c r="J103" s="275"/>
      <c r="K103" s="275"/>
      <c r="L103" s="296"/>
      <c r="M103" s="293"/>
      <c r="Q103" s="288"/>
      <c r="R103" s="288"/>
      <c r="S103" s="288"/>
      <c r="T103" s="288"/>
    </row>
    <row r="104" spans="1:20" ht="7.5" customHeight="1">
      <c r="A104" s="357"/>
      <c r="B104" s="358"/>
      <c r="C104" s="357"/>
      <c r="D104" s="278"/>
      <c r="E104" s="279"/>
      <c r="F104" s="339" t="str">
        <f>IF(AND(D108="",D102=""),"",IF(F102="","",IF(F102&lt;F108,D108,D102)))</f>
        <v>田内　稜大</v>
      </c>
      <c r="G104" s="340"/>
      <c r="H104" s="338">
        <v>8</v>
      </c>
      <c r="I104" s="275"/>
      <c r="J104" s="275"/>
      <c r="K104" s="275"/>
      <c r="L104" s="296"/>
      <c r="M104" s="293"/>
      <c r="Q104" s="288"/>
      <c r="R104" s="288"/>
      <c r="S104" s="288"/>
      <c r="T104" s="288"/>
    </row>
    <row r="105" spans="1:20" ht="2.25" customHeight="1">
      <c r="A105" s="280"/>
      <c r="B105" s="281"/>
      <c r="C105" s="280"/>
      <c r="D105" s="282"/>
      <c r="E105" s="289"/>
      <c r="F105" s="341"/>
      <c r="G105" s="342"/>
      <c r="H105" s="338"/>
      <c r="K105" s="275"/>
      <c r="L105" s="275"/>
      <c r="M105" s="293"/>
    </row>
    <row r="106" spans="1:20" ht="2.25" customHeight="1">
      <c r="A106" s="284"/>
      <c r="B106" s="285"/>
      <c r="C106" s="284"/>
      <c r="D106" s="282"/>
      <c r="E106" s="289"/>
      <c r="F106" s="341"/>
      <c r="G106" s="342"/>
      <c r="H106" s="338"/>
      <c r="K106" s="275"/>
      <c r="L106" s="275"/>
      <c r="M106" s="293"/>
    </row>
    <row r="107" spans="1:20" ht="7.5" customHeight="1">
      <c r="A107" s="353">
        <v>35</v>
      </c>
      <c r="B107" s="355" t="str">
        <f>IF(ISERROR(VLOOKUP(A107,ｼｰﾄﾞ!$A$6:$C$69,2,0)),"",VLOOKUP(A107,ｼｰﾄﾞ!$A$6:$C$69,2,0))</f>
        <v>速星中学校</v>
      </c>
      <c r="C107" s="353" t="str">
        <f>IF(ISERROR(VLOOKUP(A107,ｼｰﾄﾞ!$A$6:$C$69,3,0)),"",VLOOKUP(A107,ｼｰﾄﾞ!$A$6:$C$69,3,0))</f>
        <v>山岸　凜生</v>
      </c>
      <c r="D107" s="274">
        <v>10</v>
      </c>
      <c r="E107" s="286"/>
      <c r="F107" s="343"/>
      <c r="G107" s="344"/>
      <c r="H107" s="338"/>
      <c r="L107" s="296"/>
      <c r="M107" s="293"/>
      <c r="Q107" s="288"/>
      <c r="R107" s="288"/>
      <c r="S107" s="288"/>
      <c r="T107" s="288"/>
    </row>
    <row r="108" spans="1:20" ht="7.5" customHeight="1">
      <c r="A108" s="354"/>
      <c r="B108" s="356"/>
      <c r="C108" s="354"/>
      <c r="D108" s="339" t="str">
        <f>IF(B107="",C109,IF(D107="","",IF(D107&lt;D110,C109,C107)))</f>
        <v>山岸　凜生</v>
      </c>
      <c r="E108" s="340"/>
      <c r="F108" s="338">
        <v>1</v>
      </c>
      <c r="G108" s="287"/>
      <c r="J108" s="275"/>
      <c r="K108" s="275"/>
      <c r="L108" s="296"/>
      <c r="M108" s="293"/>
      <c r="Q108" s="288"/>
      <c r="R108" s="288"/>
      <c r="S108" s="288"/>
      <c r="T108" s="288"/>
    </row>
    <row r="109" spans="1:20" ht="7.5" customHeight="1">
      <c r="A109" s="354">
        <v>30</v>
      </c>
      <c r="B109" s="356" t="str">
        <f>IF(ISERROR(VLOOKUP(A109,ｼｰﾄﾞ!$A$6:$C$69,2,0)),"",VLOOKUP(A109,ｼｰﾄﾞ!$A$6:$C$69,2,0))</f>
        <v>愛工大付属</v>
      </c>
      <c r="C109" s="354" t="str">
        <f>IF(ISERROR(VLOOKUP(A109,ｼｰﾄﾞ!$A$6:$C$69,3,0)),"",VLOOKUP(A109,ｼｰﾄﾞ!$A$6:$C$69,3,0))</f>
        <v>堀　智貴</v>
      </c>
      <c r="D109" s="343"/>
      <c r="E109" s="344"/>
      <c r="F109" s="338"/>
      <c r="G109" s="286"/>
      <c r="J109" s="275"/>
      <c r="K109" s="275"/>
      <c r="L109" s="275"/>
      <c r="M109" s="293"/>
      <c r="Q109" s="288"/>
      <c r="R109" s="288"/>
      <c r="S109" s="288"/>
      <c r="T109" s="288"/>
    </row>
    <row r="110" spans="1:20" ht="7.5" customHeight="1">
      <c r="A110" s="357"/>
      <c r="B110" s="358"/>
      <c r="C110" s="357"/>
      <c r="D110" s="278">
        <v>9</v>
      </c>
      <c r="G110" s="286"/>
      <c r="H110" s="339" t="str">
        <f>IF(AND(F116="",F104=""),"",IF(H104="","",IF(H116&lt;H104,F104,F116)))</f>
        <v>杉岡　瑞基</v>
      </c>
      <c r="I110" s="340"/>
      <c r="J110" s="338">
        <v>7</v>
      </c>
      <c r="K110" s="289"/>
      <c r="L110" s="275"/>
      <c r="M110" s="293"/>
      <c r="Q110" s="288"/>
      <c r="R110" s="288"/>
      <c r="S110" s="288"/>
      <c r="T110" s="288"/>
    </row>
    <row r="111" spans="1:20" ht="2.25" customHeight="1">
      <c r="A111" s="280"/>
      <c r="B111" s="281"/>
      <c r="C111" s="280"/>
      <c r="D111" s="282"/>
      <c r="E111" s="289"/>
      <c r="G111" s="286"/>
      <c r="H111" s="341"/>
      <c r="I111" s="342"/>
      <c r="J111" s="338"/>
      <c r="K111" s="275"/>
      <c r="L111" s="275"/>
      <c r="M111" s="293"/>
    </row>
    <row r="112" spans="1:20" ht="2.25" customHeight="1">
      <c r="A112" s="284"/>
      <c r="B112" s="285"/>
      <c r="C112" s="284"/>
      <c r="D112" s="282"/>
      <c r="E112" s="289"/>
      <c r="G112" s="286"/>
      <c r="H112" s="341"/>
      <c r="I112" s="342"/>
      <c r="J112" s="338"/>
      <c r="K112" s="275"/>
      <c r="L112" s="275"/>
      <c r="M112" s="293"/>
    </row>
    <row r="113" spans="1:20" ht="7.5" customHeight="1">
      <c r="A113" s="353">
        <v>19</v>
      </c>
      <c r="B113" s="355" t="str">
        <f>IF(ISERROR(VLOOKUP(A113,ｼｰﾄﾞ!$A$6:$C$69,2,0)),"",VLOOKUP(A113,ｼｰﾄﾞ!$A$6:$C$69,2,0))</f>
        <v>横浜フェンサーズ</v>
      </c>
      <c r="C113" s="353" t="str">
        <f>IF(ISERROR(VLOOKUP(A113,ｼｰﾄﾞ!$A$6:$C$69,3,0)),"",VLOOKUP(A113,ｼｰﾄﾞ!$A$6:$C$69,3,0))</f>
        <v>柳原　健二郎</v>
      </c>
      <c r="D113" s="274">
        <v>10</v>
      </c>
      <c r="E113" s="275"/>
      <c r="F113" s="276"/>
      <c r="G113" s="290"/>
      <c r="H113" s="343"/>
      <c r="I113" s="344"/>
      <c r="J113" s="338"/>
      <c r="K113" s="275"/>
      <c r="L113" s="275"/>
      <c r="M113" s="293"/>
      <c r="Q113" s="288"/>
      <c r="R113" s="288"/>
      <c r="S113" s="288"/>
      <c r="T113" s="288"/>
    </row>
    <row r="114" spans="1:20" ht="7.5" customHeight="1">
      <c r="A114" s="354"/>
      <c r="B114" s="356"/>
      <c r="C114" s="354"/>
      <c r="D114" s="339" t="str">
        <f>IF(B115="",C113,IF(D113="","",IF(D113&lt;D116,C115,C113)))</f>
        <v>柳原　健二郎</v>
      </c>
      <c r="E114" s="340"/>
      <c r="F114" s="338">
        <v>2</v>
      </c>
      <c r="G114" s="290"/>
      <c r="I114" s="286"/>
      <c r="J114" s="275"/>
      <c r="K114" s="275"/>
      <c r="L114" s="275"/>
      <c r="M114" s="293"/>
      <c r="Q114" s="288"/>
      <c r="R114" s="288"/>
      <c r="S114" s="288"/>
      <c r="T114" s="288"/>
    </row>
    <row r="115" spans="1:20" ht="7.5" customHeight="1">
      <c r="A115" s="354">
        <v>46</v>
      </c>
      <c r="B115" s="356" t="str">
        <f>IF(ISERROR(VLOOKUP(A115,ｼｰﾄﾞ!$A$6:$C$69,2,0)),"",VLOOKUP(A115,ｼｰﾄﾞ!$A$6:$C$69,2,0))</f>
        <v>はしまモア</v>
      </c>
      <c r="C115" s="354" t="str">
        <f>IF(ISERROR(VLOOKUP(A115,ｼｰﾄﾞ!$A$6:$C$69,3,0)),"",VLOOKUP(A115,ｼｰﾄﾞ!$A$6:$C$69,3,0))</f>
        <v>今井　大河</v>
      </c>
      <c r="D115" s="343">
        <v>1</v>
      </c>
      <c r="E115" s="344"/>
      <c r="F115" s="338"/>
      <c r="G115" s="290"/>
      <c r="I115" s="286"/>
      <c r="J115" s="288"/>
      <c r="K115" s="288"/>
      <c r="L115" s="275"/>
      <c r="M115" s="293"/>
      <c r="Q115" s="288"/>
      <c r="R115" s="288"/>
      <c r="S115" s="288"/>
      <c r="T115" s="288"/>
    </row>
    <row r="116" spans="1:20" ht="7.5" customHeight="1">
      <c r="A116" s="357"/>
      <c r="B116" s="358"/>
      <c r="C116" s="357"/>
      <c r="D116" s="278">
        <v>0</v>
      </c>
      <c r="F116" s="339" t="str">
        <f>IF(AND(D120="",D114=""),"",IF(F114="","",IF(F114&lt;F120,D120,D114)))</f>
        <v>杉岡　瑞基</v>
      </c>
      <c r="G116" s="340"/>
      <c r="H116" s="338">
        <v>10</v>
      </c>
      <c r="I116" s="286"/>
      <c r="J116" s="288"/>
      <c r="K116" s="288"/>
      <c r="L116" s="275"/>
      <c r="M116" s="293"/>
      <c r="Q116" s="288"/>
      <c r="R116" s="288"/>
      <c r="S116" s="288"/>
      <c r="T116" s="288"/>
    </row>
    <row r="117" spans="1:20" ht="2.25" customHeight="1">
      <c r="A117" s="280"/>
      <c r="B117" s="281"/>
      <c r="C117" s="280"/>
      <c r="D117" s="282"/>
      <c r="E117" s="289"/>
      <c r="F117" s="341"/>
      <c r="G117" s="342"/>
      <c r="H117" s="338"/>
      <c r="I117" s="286"/>
      <c r="J117" s="288"/>
      <c r="K117" s="275"/>
      <c r="L117" s="275"/>
      <c r="M117" s="293"/>
    </row>
    <row r="118" spans="1:20" ht="2.25" customHeight="1">
      <c r="A118" s="284"/>
      <c r="B118" s="285"/>
      <c r="C118" s="284"/>
      <c r="D118" s="282"/>
      <c r="E118" s="289"/>
      <c r="F118" s="341"/>
      <c r="G118" s="342"/>
      <c r="H118" s="338"/>
      <c r="I118" s="286"/>
      <c r="J118" s="288"/>
      <c r="K118" s="275"/>
      <c r="L118" s="275"/>
      <c r="M118" s="293"/>
    </row>
    <row r="119" spans="1:20" ht="7.5" customHeight="1">
      <c r="A119" s="353">
        <v>51</v>
      </c>
      <c r="B119" s="355" t="str">
        <f>IF(ISERROR(VLOOKUP(A119,ｼｰﾄﾞ!$A$6:$C$69,2,0)),"",VLOOKUP(A119,ｼｰﾄﾞ!$A$6:$C$69,2,0))</f>
        <v/>
      </c>
      <c r="C119" s="353" t="str">
        <f>IF(ISERROR(VLOOKUP(A119,ｼｰﾄﾞ!$A$6:$C$69,3,0)),"",VLOOKUP(A119,ｼｰﾄﾞ!$A$6:$C$69,3,0))</f>
        <v/>
      </c>
      <c r="D119" s="274"/>
      <c r="E119" s="286"/>
      <c r="F119" s="343"/>
      <c r="G119" s="344"/>
      <c r="H119" s="338"/>
      <c r="I119" s="286"/>
      <c r="J119" s="275"/>
      <c r="K119" s="275"/>
      <c r="L119" s="275"/>
      <c r="M119" s="293"/>
      <c r="N119" s="288"/>
      <c r="O119" s="288"/>
      <c r="P119" s="288"/>
      <c r="Q119" s="288"/>
      <c r="R119" s="288"/>
      <c r="S119" s="288"/>
      <c r="T119" s="288"/>
    </row>
    <row r="120" spans="1:20" ht="7.5" customHeight="1">
      <c r="A120" s="354"/>
      <c r="B120" s="356"/>
      <c r="C120" s="354"/>
      <c r="D120" s="339" t="str">
        <f>IF(B119="",C121,IF(D119="","",IF(D119&lt;D122,C121,C119)))</f>
        <v>杉岡　瑞基</v>
      </c>
      <c r="E120" s="340"/>
      <c r="F120" s="352">
        <v>10</v>
      </c>
      <c r="I120" s="286"/>
      <c r="J120" s="275"/>
      <c r="K120" s="275"/>
      <c r="L120" s="275"/>
      <c r="M120" s="293"/>
      <c r="N120" s="288"/>
      <c r="O120" s="288"/>
      <c r="P120" s="288"/>
      <c r="Q120" s="288"/>
      <c r="R120" s="288"/>
      <c r="S120" s="288"/>
      <c r="T120" s="288"/>
    </row>
    <row r="121" spans="1:20" ht="7.5" customHeight="1">
      <c r="A121" s="354">
        <v>14</v>
      </c>
      <c r="B121" s="356" t="str">
        <f>IF(ISERROR(VLOOKUP(A121,ｼｰﾄﾞ!$A$6:$C$69,2,0)),"",VLOOKUP(A121,ｼｰﾄﾞ!$A$6:$C$69,2,0))</f>
        <v>長野ジュニア</v>
      </c>
      <c r="C121" s="354" t="str">
        <f>IF(ISERROR(VLOOKUP(A121,ｼｰﾄﾞ!$A$6:$C$69,3,0)),"",VLOOKUP(A121,ｼｰﾄﾞ!$A$6:$C$69,3,0))</f>
        <v>杉岡　瑞基</v>
      </c>
      <c r="D121" s="343">
        <v>2</v>
      </c>
      <c r="E121" s="344"/>
      <c r="F121" s="338"/>
      <c r="G121" s="275"/>
      <c r="H121" s="275"/>
      <c r="I121" s="286"/>
      <c r="K121" s="275"/>
      <c r="L121" s="275"/>
      <c r="M121" s="293"/>
      <c r="N121" s="288"/>
      <c r="O121" s="288"/>
      <c r="P121" s="288"/>
      <c r="Q121" s="288"/>
      <c r="R121" s="288"/>
      <c r="S121" s="288"/>
      <c r="T121" s="288"/>
    </row>
    <row r="122" spans="1:20" ht="7.5" customHeight="1">
      <c r="A122" s="357"/>
      <c r="B122" s="358"/>
      <c r="C122" s="357"/>
      <c r="D122" s="278"/>
      <c r="E122" s="275"/>
      <c r="H122" s="275"/>
      <c r="I122" s="286"/>
      <c r="J122" s="339" t="str">
        <f>IF(AND(H134="",H110=""),"",IF(J110="","",IF(J134&lt;J110,H110,H134)))</f>
        <v>河村　一摩</v>
      </c>
      <c r="K122" s="340"/>
      <c r="L122" s="338"/>
      <c r="M122" s="293"/>
      <c r="N122" s="288"/>
      <c r="O122" s="288"/>
      <c r="P122" s="288"/>
      <c r="Q122" s="288"/>
      <c r="R122" s="288"/>
      <c r="S122" s="288"/>
      <c r="T122" s="288"/>
    </row>
    <row r="123" spans="1:20" ht="2.25" customHeight="1">
      <c r="A123" s="280"/>
      <c r="B123" s="281"/>
      <c r="C123" s="280"/>
      <c r="D123" s="282"/>
      <c r="E123" s="289"/>
      <c r="H123" s="275"/>
      <c r="I123" s="286"/>
      <c r="J123" s="341"/>
      <c r="K123" s="342"/>
      <c r="L123" s="338"/>
      <c r="M123" s="293"/>
    </row>
    <row r="124" spans="1:20" ht="2.25" customHeight="1">
      <c r="A124" s="284"/>
      <c r="B124" s="285"/>
      <c r="C124" s="284"/>
      <c r="D124" s="282"/>
      <c r="E124" s="289"/>
      <c r="H124" s="275"/>
      <c r="I124" s="286"/>
      <c r="J124" s="341"/>
      <c r="K124" s="342"/>
      <c r="L124" s="338"/>
      <c r="M124" s="293"/>
    </row>
    <row r="125" spans="1:20" ht="7.5" customHeight="1">
      <c r="A125" s="353">
        <v>11</v>
      </c>
      <c r="B125" s="355" t="str">
        <f>IF(ISERROR(VLOOKUP(A125,ｼｰﾄﾞ!$A$6:$C$69,2,0)),"",VLOOKUP(A125,ｼｰﾄﾞ!$A$6:$C$69,2,0))</f>
        <v>杉並ジュニア</v>
      </c>
      <c r="C125" s="353" t="str">
        <f>IF(ISERROR(VLOOKUP(A125,ｼｰﾄﾞ!$A$6:$C$69,3,0)),"",VLOOKUP(A125,ｼｰﾄﾞ!$A$6:$C$69,3,0))</f>
        <v>山﨑　貴史</v>
      </c>
      <c r="D125" s="274"/>
      <c r="E125" s="275"/>
      <c r="F125" s="276"/>
      <c r="G125" s="276"/>
      <c r="H125" s="275"/>
      <c r="I125" s="286"/>
      <c r="J125" s="343"/>
      <c r="K125" s="344"/>
      <c r="L125" s="338"/>
      <c r="M125" s="293"/>
      <c r="N125" s="288"/>
      <c r="O125" s="288"/>
      <c r="P125" s="288"/>
      <c r="Q125" s="288"/>
      <c r="R125" s="288"/>
      <c r="S125" s="288"/>
      <c r="T125" s="288"/>
    </row>
    <row r="126" spans="1:20" ht="7.5" customHeight="1">
      <c r="A126" s="354"/>
      <c r="B126" s="356"/>
      <c r="C126" s="354"/>
      <c r="D126" s="339" t="str">
        <f>IF(B127="",C125,IF(D125="","",IF(D125&lt;D128,C127,C125)))</f>
        <v>山﨑　貴史</v>
      </c>
      <c r="E126" s="340"/>
      <c r="F126" s="338">
        <v>5</v>
      </c>
      <c r="H126" s="275"/>
      <c r="I126" s="286"/>
      <c r="J126" s="275"/>
      <c r="K126" s="286"/>
      <c r="L126" s="275"/>
      <c r="M126" s="293"/>
      <c r="N126" s="288"/>
      <c r="O126" s="288"/>
      <c r="P126" s="288"/>
      <c r="Q126" s="288"/>
      <c r="R126" s="288"/>
      <c r="S126" s="288"/>
      <c r="T126" s="288"/>
    </row>
    <row r="127" spans="1:20" ht="7.5" customHeight="1">
      <c r="A127" s="354">
        <v>54</v>
      </c>
      <c r="B127" s="356" t="str">
        <f>IF(ISERROR(VLOOKUP(A127,ｼｰﾄﾞ!$A$6:$C$69,2,0)),"",VLOOKUP(A127,ｼｰﾄﾞ!$A$6:$C$69,2,0))</f>
        <v/>
      </c>
      <c r="C127" s="354" t="str">
        <f>IF(ISERROR(VLOOKUP(A127,ｼｰﾄﾞ!$A$6:$C$69,3,0)),"",VLOOKUP(A127,ｼｰﾄﾞ!$A$6:$C$69,3,0))</f>
        <v/>
      </c>
      <c r="D127" s="343"/>
      <c r="E127" s="344"/>
      <c r="F127" s="338"/>
      <c r="H127" s="275"/>
      <c r="I127" s="286"/>
      <c r="J127" s="275"/>
      <c r="K127" s="286"/>
      <c r="L127" s="275"/>
      <c r="M127" s="293"/>
      <c r="N127" s="288"/>
      <c r="O127" s="288"/>
      <c r="P127" s="288"/>
      <c r="Q127" s="288"/>
      <c r="R127" s="288"/>
      <c r="S127" s="288"/>
      <c r="T127" s="288"/>
    </row>
    <row r="128" spans="1:20" ht="7.5" customHeight="1">
      <c r="A128" s="357"/>
      <c r="B128" s="358"/>
      <c r="C128" s="357"/>
      <c r="D128" s="278"/>
      <c r="E128" s="279"/>
      <c r="F128" s="339" t="str">
        <f>IF(AND(D132="",D126=""),"",IF(F126="","",IF(F126&lt;F132,D132,D126)))</f>
        <v>中村　健人</v>
      </c>
      <c r="G128" s="340"/>
      <c r="H128" s="338">
        <v>4</v>
      </c>
      <c r="I128" s="286"/>
      <c r="J128" s="275"/>
      <c r="K128" s="286"/>
      <c r="L128" s="275"/>
      <c r="M128" s="293"/>
      <c r="N128" s="288"/>
      <c r="O128" s="288"/>
      <c r="P128" s="288"/>
      <c r="Q128" s="288"/>
      <c r="R128" s="288"/>
      <c r="S128" s="288"/>
      <c r="T128" s="288"/>
    </row>
    <row r="129" spans="1:20" ht="2.25" customHeight="1">
      <c r="A129" s="280"/>
      <c r="B129" s="281"/>
      <c r="C129" s="280"/>
      <c r="D129" s="282"/>
      <c r="E129" s="289"/>
      <c r="F129" s="341"/>
      <c r="G129" s="342"/>
      <c r="H129" s="338"/>
      <c r="I129" s="286"/>
      <c r="J129" s="275"/>
      <c r="K129" s="286"/>
      <c r="L129" s="275"/>
      <c r="M129" s="293"/>
    </row>
    <row r="130" spans="1:20" ht="2.25" customHeight="1">
      <c r="A130" s="284"/>
      <c r="B130" s="285"/>
      <c r="C130" s="284"/>
      <c r="D130" s="282"/>
      <c r="E130" s="289"/>
      <c r="F130" s="341"/>
      <c r="G130" s="342"/>
      <c r="H130" s="338"/>
      <c r="I130" s="286"/>
      <c r="J130" s="275"/>
      <c r="K130" s="286"/>
      <c r="L130" s="275"/>
      <c r="M130" s="293"/>
    </row>
    <row r="131" spans="1:20" ht="7.5" customHeight="1">
      <c r="A131" s="353">
        <v>43</v>
      </c>
      <c r="B131" s="355" t="str">
        <f>IF(ISERROR(VLOOKUP(A131,ｼｰﾄﾞ!$A$6:$C$69,2,0)),"",VLOOKUP(A131,ｼｰﾄﾞ!$A$6:$C$69,2,0))</f>
        <v>速星中学校</v>
      </c>
      <c r="C131" s="353" t="str">
        <f>IF(ISERROR(VLOOKUP(A131,ｼｰﾄﾞ!$A$6:$C$69,3,0)),"",VLOOKUP(A131,ｼｰﾄﾞ!$A$6:$C$69,3,0))</f>
        <v>小林　颯一</v>
      </c>
      <c r="D131" s="274">
        <v>1</v>
      </c>
      <c r="E131" s="286"/>
      <c r="F131" s="343"/>
      <c r="G131" s="344"/>
      <c r="H131" s="338"/>
      <c r="I131" s="286"/>
      <c r="J131" s="288"/>
      <c r="K131" s="293"/>
      <c r="L131" s="275"/>
      <c r="M131" s="293"/>
      <c r="N131" s="288"/>
      <c r="O131" s="288"/>
      <c r="P131" s="288"/>
      <c r="Q131" s="288"/>
      <c r="R131" s="288"/>
      <c r="S131" s="288"/>
      <c r="T131" s="288"/>
    </row>
    <row r="132" spans="1:20" ht="7.5" customHeight="1">
      <c r="A132" s="354"/>
      <c r="B132" s="356"/>
      <c r="C132" s="354"/>
      <c r="D132" s="339" t="str">
        <f>IF(B131="",C133,IF(D131="","",IF(D131&lt;D134,C133,C131)))</f>
        <v>中村　健人</v>
      </c>
      <c r="E132" s="340"/>
      <c r="F132" s="338">
        <v>10</v>
      </c>
      <c r="G132" s="287"/>
      <c r="I132" s="286"/>
      <c r="J132" s="275"/>
      <c r="K132" s="286"/>
      <c r="L132" s="275"/>
      <c r="M132" s="293"/>
      <c r="N132" s="288"/>
      <c r="O132" s="288"/>
      <c r="P132" s="288"/>
      <c r="Q132" s="288"/>
      <c r="R132" s="288"/>
      <c r="S132" s="288"/>
      <c r="T132" s="288"/>
    </row>
    <row r="133" spans="1:20" ht="7.5" customHeight="1">
      <c r="A133" s="354">
        <v>22</v>
      </c>
      <c r="B133" s="356" t="str">
        <f>IF(ISERROR(VLOOKUP(A133,ｼｰﾄﾞ!$A$6:$C$69,2,0)),"",VLOOKUP(A133,ｼｰﾄﾞ!$A$6:$C$69,2,0))</f>
        <v>箕輪中学校</v>
      </c>
      <c r="C133" s="354" t="str">
        <f>IF(ISERROR(VLOOKUP(A133,ｼｰﾄﾞ!$A$6:$C$69,3,0)),"",VLOOKUP(A133,ｼｰﾄﾞ!$A$6:$C$69,3,0))</f>
        <v>中村　健人</v>
      </c>
      <c r="D133" s="343"/>
      <c r="E133" s="344"/>
      <c r="F133" s="338"/>
      <c r="G133" s="286"/>
      <c r="H133" s="275"/>
      <c r="I133" s="286"/>
      <c r="J133" s="275"/>
      <c r="K133" s="286"/>
      <c r="L133" s="275"/>
      <c r="M133" s="293"/>
      <c r="N133" s="288"/>
      <c r="O133" s="288"/>
      <c r="P133" s="288"/>
      <c r="Q133" s="288"/>
      <c r="R133" s="288"/>
      <c r="S133" s="288"/>
      <c r="T133" s="288"/>
    </row>
    <row r="134" spans="1:20" ht="7.5" customHeight="1">
      <c r="A134" s="357"/>
      <c r="B134" s="358"/>
      <c r="C134" s="357"/>
      <c r="D134" s="278">
        <v>10</v>
      </c>
      <c r="G134" s="286"/>
      <c r="H134" s="339" t="str">
        <f>IF(AND(F140="",F128=""),"",IF(H128="","",IF(H140&lt;H128,F128,F140)))</f>
        <v>河村　一摩</v>
      </c>
      <c r="I134" s="340"/>
      <c r="J134" s="346">
        <v>10</v>
      </c>
      <c r="K134" s="286"/>
      <c r="L134" s="275"/>
      <c r="M134" s="293"/>
      <c r="N134" s="288"/>
      <c r="O134" s="288"/>
      <c r="P134" s="288"/>
      <c r="Q134" s="288"/>
      <c r="R134" s="288"/>
      <c r="S134" s="288"/>
      <c r="T134" s="288"/>
    </row>
    <row r="135" spans="1:20" ht="2.25" customHeight="1">
      <c r="A135" s="280"/>
      <c r="B135" s="281"/>
      <c r="C135" s="280"/>
      <c r="D135" s="282"/>
      <c r="E135" s="289"/>
      <c r="G135" s="286"/>
      <c r="H135" s="341"/>
      <c r="I135" s="342"/>
      <c r="J135" s="346"/>
      <c r="K135" s="286"/>
      <c r="L135" s="275"/>
      <c r="M135" s="293"/>
    </row>
    <row r="136" spans="1:20" ht="2.25" customHeight="1">
      <c r="A136" s="284"/>
      <c r="B136" s="285"/>
      <c r="C136" s="284"/>
      <c r="D136" s="282"/>
      <c r="E136" s="289"/>
      <c r="G136" s="286"/>
      <c r="H136" s="341"/>
      <c r="I136" s="342"/>
      <c r="J136" s="346"/>
      <c r="K136" s="286"/>
      <c r="L136" s="275"/>
      <c r="M136" s="293"/>
    </row>
    <row r="137" spans="1:20" ht="7.5" customHeight="1">
      <c r="A137" s="353">
        <v>27</v>
      </c>
      <c r="B137" s="355" t="str">
        <f>IF(ISERROR(VLOOKUP(A137,ｼｰﾄﾞ!$A$6:$C$69,2,0)),"",VLOOKUP(A137,ｼｰﾄﾞ!$A$6:$C$69,2,0))</f>
        <v>SEIBUスポーツ</v>
      </c>
      <c r="C137" s="353" t="str">
        <f>IF(ISERROR(VLOOKUP(A137,ｼｰﾄﾞ!$A$6:$C$69,3,0)),"",VLOOKUP(A137,ｼｰﾄﾞ!$A$6:$C$69,3,0))</f>
        <v>大原　士侑</v>
      </c>
      <c r="D137" s="274">
        <v>5</v>
      </c>
      <c r="E137" s="275"/>
      <c r="F137" s="276"/>
      <c r="G137" s="290"/>
      <c r="H137" s="343"/>
      <c r="I137" s="344"/>
      <c r="J137" s="346"/>
      <c r="K137" s="286"/>
      <c r="L137" s="275"/>
      <c r="M137" s="293"/>
      <c r="N137" s="288"/>
      <c r="O137" s="288"/>
      <c r="P137" s="288"/>
      <c r="Q137" s="288"/>
      <c r="R137" s="288"/>
      <c r="S137" s="288"/>
      <c r="T137" s="288"/>
    </row>
    <row r="138" spans="1:20" ht="7.5" customHeight="1">
      <c r="A138" s="354"/>
      <c r="B138" s="356"/>
      <c r="C138" s="354"/>
      <c r="D138" s="339" t="str">
        <f>IF(B139="",C137,IF(D137="","",IF(D137&lt;D140,C139,C137)))</f>
        <v>山口　倫生</v>
      </c>
      <c r="E138" s="340"/>
      <c r="F138" s="338">
        <v>1</v>
      </c>
      <c r="G138" s="290"/>
      <c r="I138" s="275"/>
      <c r="J138" s="275"/>
      <c r="K138" s="286"/>
      <c r="L138" s="275"/>
      <c r="M138" s="293"/>
      <c r="N138" s="288"/>
      <c r="O138" s="288"/>
      <c r="P138" s="288"/>
      <c r="Q138" s="288"/>
      <c r="R138" s="288"/>
      <c r="S138" s="288"/>
      <c r="T138" s="288"/>
    </row>
    <row r="139" spans="1:20" ht="7.5" customHeight="1">
      <c r="A139" s="354">
        <v>38</v>
      </c>
      <c r="B139" s="356" t="str">
        <f>IF(ISERROR(VLOOKUP(A139,ｼｰﾄﾞ!$A$6:$C$69,2,0)),"",VLOOKUP(A139,ｼｰﾄﾞ!$A$6:$C$69,2,0))</f>
        <v>愛工大付属</v>
      </c>
      <c r="C139" s="354" t="str">
        <f>IF(ISERROR(VLOOKUP(A139,ｼｰﾄﾞ!$A$6:$C$69,3,0)),"",VLOOKUP(A139,ｼｰﾄﾞ!$A$6:$C$69,3,0))</f>
        <v>山口　倫生</v>
      </c>
      <c r="D139" s="343"/>
      <c r="E139" s="344"/>
      <c r="F139" s="338"/>
      <c r="G139" s="290"/>
      <c r="H139" s="275"/>
      <c r="I139" s="275"/>
      <c r="J139" s="288"/>
      <c r="K139" s="293"/>
      <c r="L139" s="275"/>
      <c r="M139" s="293"/>
      <c r="N139" s="288"/>
      <c r="O139" s="288"/>
      <c r="P139" s="288"/>
      <c r="Q139" s="288"/>
      <c r="R139" s="288"/>
      <c r="S139" s="288"/>
      <c r="T139" s="288"/>
    </row>
    <row r="140" spans="1:20" ht="7.5" customHeight="1">
      <c r="A140" s="357"/>
      <c r="B140" s="358"/>
      <c r="C140" s="357"/>
      <c r="D140" s="278">
        <v>10</v>
      </c>
      <c r="F140" s="339" t="str">
        <f>IF(AND(D144="",D138=""),"",IF(F138="","",IF(F138&lt;F144,D144,D138)))</f>
        <v>河村　一摩</v>
      </c>
      <c r="G140" s="340"/>
      <c r="H140" s="338">
        <v>10</v>
      </c>
      <c r="J140" s="288"/>
      <c r="K140" s="293"/>
      <c r="L140" s="275"/>
      <c r="M140" s="293"/>
      <c r="N140" s="288"/>
      <c r="O140" s="288"/>
      <c r="P140" s="288"/>
      <c r="Q140" s="288"/>
      <c r="R140" s="288"/>
      <c r="S140" s="288"/>
      <c r="T140" s="288"/>
    </row>
    <row r="141" spans="1:20" ht="2.25" customHeight="1">
      <c r="A141" s="280"/>
      <c r="B141" s="281"/>
      <c r="C141" s="280"/>
      <c r="D141" s="282"/>
      <c r="E141" s="289"/>
      <c r="F141" s="341"/>
      <c r="G141" s="342"/>
      <c r="H141" s="338"/>
      <c r="J141" s="288"/>
      <c r="K141" s="286"/>
      <c r="L141" s="275"/>
      <c r="M141" s="293"/>
    </row>
    <row r="142" spans="1:20" ht="2.25" customHeight="1">
      <c r="A142" s="284"/>
      <c r="B142" s="285"/>
      <c r="C142" s="284"/>
      <c r="D142" s="282"/>
      <c r="E142" s="289"/>
      <c r="F142" s="341"/>
      <c r="G142" s="342"/>
      <c r="H142" s="338"/>
      <c r="J142" s="288"/>
      <c r="K142" s="286"/>
      <c r="L142" s="275"/>
      <c r="M142" s="293"/>
    </row>
    <row r="143" spans="1:20" ht="7.5" customHeight="1">
      <c r="A143" s="353">
        <v>59</v>
      </c>
      <c r="B143" s="355" t="str">
        <f>IF(ISERROR(VLOOKUP(A143,ｼｰﾄﾞ!$A$6:$C$69,2,0)),"",VLOOKUP(A143,ｼｰﾄﾞ!$A$6:$C$69,2,0))</f>
        <v/>
      </c>
      <c r="C143" s="353" t="str">
        <f>IF(ISERROR(VLOOKUP(A143,ｼｰﾄﾞ!$A$6:$C$69,3,0)),"",VLOOKUP(A143,ｼｰﾄﾞ!$A$6:$C$69,3,0))</f>
        <v/>
      </c>
      <c r="D143" s="274"/>
      <c r="E143" s="286"/>
      <c r="F143" s="343"/>
      <c r="G143" s="344"/>
      <c r="H143" s="338"/>
      <c r="I143" s="275"/>
      <c r="J143" s="275"/>
      <c r="K143" s="286"/>
      <c r="L143" s="275"/>
      <c r="M143" s="293"/>
      <c r="N143" s="288"/>
      <c r="O143" s="288"/>
      <c r="P143" s="288"/>
      <c r="Q143" s="288"/>
      <c r="R143" s="288"/>
      <c r="S143" s="288"/>
      <c r="T143" s="288"/>
    </row>
    <row r="144" spans="1:20" ht="7.5" customHeight="1">
      <c r="A144" s="354"/>
      <c r="B144" s="356"/>
      <c r="C144" s="354"/>
      <c r="D144" s="339" t="str">
        <f>IF(B143="",C145,IF(D143="","",IF(D143&lt;D146,C145,C143)))</f>
        <v>河村　一摩</v>
      </c>
      <c r="E144" s="340"/>
      <c r="F144" s="352">
        <v>10</v>
      </c>
      <c r="H144" s="275"/>
      <c r="I144" s="275"/>
      <c r="J144" s="275"/>
      <c r="K144" s="286"/>
      <c r="L144" s="275"/>
      <c r="M144" s="293"/>
      <c r="N144" s="297"/>
      <c r="O144" s="288"/>
      <c r="P144" s="288"/>
      <c r="Q144" s="288"/>
      <c r="R144" s="288"/>
      <c r="S144" s="288"/>
      <c r="T144" s="288"/>
    </row>
    <row r="145" spans="1:20" ht="7.5" customHeight="1">
      <c r="A145" s="354">
        <v>6</v>
      </c>
      <c r="B145" s="356" t="str">
        <f>IF(ISERROR(VLOOKUP(A145,ｼｰﾄﾞ!$A$6:$C$69,2,0)),"",VLOOKUP(A145,ｼｰﾄﾞ!$A$6:$C$69,2,0))</f>
        <v>はしまモア</v>
      </c>
      <c r="C145" s="354" t="str">
        <f>IF(ISERROR(VLOOKUP(A145,ｼｰﾄﾞ!$A$6:$C$69,3,0)),"",VLOOKUP(A145,ｼｰﾄﾞ!$A$6:$C$69,3,0))</f>
        <v>河村　一摩</v>
      </c>
      <c r="D145" s="343"/>
      <c r="E145" s="344"/>
      <c r="F145" s="338"/>
      <c r="G145" s="275"/>
      <c r="H145" s="275"/>
      <c r="I145" s="275"/>
      <c r="J145" s="275"/>
      <c r="K145" s="286"/>
      <c r="L145" s="275"/>
      <c r="M145" s="293"/>
      <c r="N145" s="297"/>
      <c r="O145" s="288"/>
      <c r="P145" s="288"/>
      <c r="Q145" s="288"/>
      <c r="R145" s="288"/>
      <c r="S145" s="288"/>
      <c r="T145" s="288"/>
    </row>
    <row r="146" spans="1:20" ht="7.5" customHeight="1">
      <c r="A146" s="357"/>
      <c r="B146" s="358"/>
      <c r="C146" s="357"/>
      <c r="D146" s="278"/>
      <c r="E146" s="275"/>
      <c r="H146" s="275"/>
      <c r="I146" s="275"/>
      <c r="J146" s="275"/>
      <c r="K146" s="286"/>
      <c r="L146" s="339" t="str">
        <f>IF(AND(J170="",J122=""),"",IF(L122="","",IF(L170&lt;L122,J122,J170)))</f>
        <v/>
      </c>
      <c r="M146" s="340"/>
      <c r="N146" s="346"/>
      <c r="O146" s="288"/>
      <c r="P146" s="288"/>
      <c r="Q146" s="288"/>
      <c r="R146" s="288"/>
      <c r="S146" s="288"/>
      <c r="T146" s="288"/>
    </row>
    <row r="147" spans="1:20" ht="2.25" customHeight="1">
      <c r="A147" s="280"/>
      <c r="B147" s="281"/>
      <c r="C147" s="280"/>
      <c r="D147" s="282"/>
      <c r="E147" s="289"/>
      <c r="H147" s="275"/>
      <c r="J147" s="288"/>
      <c r="K147" s="286"/>
      <c r="L147" s="341"/>
      <c r="M147" s="342"/>
      <c r="N147" s="346"/>
    </row>
    <row r="148" spans="1:20" ht="2.25" customHeight="1">
      <c r="A148" s="284"/>
      <c r="B148" s="285"/>
      <c r="C148" s="284"/>
      <c r="D148" s="282"/>
      <c r="E148" s="289"/>
      <c r="H148" s="275"/>
      <c r="J148" s="288"/>
      <c r="K148" s="286"/>
      <c r="L148" s="341"/>
      <c r="M148" s="342"/>
      <c r="N148" s="346"/>
    </row>
    <row r="149" spans="1:20" ht="7.5" customHeight="1">
      <c r="A149" s="353">
        <v>7</v>
      </c>
      <c r="B149" s="355" t="str">
        <f>IF(ISERROR(VLOOKUP(A149,ｼｰﾄﾞ!$A$6:$C$69,2,0)),"",VLOOKUP(A149,ｼｰﾄﾞ!$A$6:$C$69,2,0))</f>
        <v>光が丘フェンシング</v>
      </c>
      <c r="C149" s="353" t="str">
        <f>IF(ISERROR(VLOOKUP(A149,ｼｰﾄﾞ!$A$6:$C$69,3,0)),"",VLOOKUP(A149,ｼｰﾄﾞ!$A$6:$C$69,3,0))</f>
        <v>黒澤　塁</v>
      </c>
      <c r="D149" s="274"/>
      <c r="E149" s="275"/>
      <c r="F149" s="276"/>
      <c r="G149" s="276"/>
      <c r="H149" s="275"/>
      <c r="I149" s="275"/>
      <c r="J149" s="275"/>
      <c r="K149" s="286"/>
      <c r="L149" s="343"/>
      <c r="M149" s="344"/>
      <c r="N149" s="346"/>
      <c r="O149" s="288"/>
      <c r="P149" s="288"/>
      <c r="Q149" s="288"/>
      <c r="R149" s="288"/>
      <c r="S149" s="288"/>
      <c r="T149" s="288"/>
    </row>
    <row r="150" spans="1:20" ht="7.5" customHeight="1">
      <c r="A150" s="354"/>
      <c r="B150" s="356"/>
      <c r="C150" s="354"/>
      <c r="D150" s="339" t="str">
        <f>IF(B151="",C149,IF(D149="","",IF(D149&lt;D152,C151,C149)))</f>
        <v>黒澤　塁</v>
      </c>
      <c r="E150" s="340"/>
      <c r="F150" s="338">
        <v>10</v>
      </c>
      <c r="J150" s="275"/>
      <c r="K150" s="286"/>
      <c r="L150" s="275"/>
      <c r="P150" s="288"/>
      <c r="Q150" s="288"/>
      <c r="R150" s="288"/>
      <c r="S150" s="288"/>
      <c r="T150" s="288"/>
    </row>
    <row r="151" spans="1:20" ht="7.5" customHeight="1">
      <c r="A151" s="354">
        <v>58</v>
      </c>
      <c r="B151" s="356" t="str">
        <f>IF(ISERROR(VLOOKUP(A151,ｼｰﾄﾞ!$A$6:$C$69,2,0)),"",VLOOKUP(A151,ｼｰﾄﾞ!$A$6:$C$69,2,0))</f>
        <v/>
      </c>
      <c r="C151" s="354" t="str">
        <f>IF(ISERROR(VLOOKUP(A151,ｼｰﾄﾞ!$A$6:$C$69,3,0)),"",VLOOKUP(A151,ｼｰﾄﾞ!$A$6:$C$69,3,0))</f>
        <v/>
      </c>
      <c r="D151" s="343"/>
      <c r="E151" s="344"/>
      <c r="F151" s="338"/>
      <c r="J151" s="275"/>
      <c r="K151" s="286"/>
      <c r="L151" s="275"/>
      <c r="M151" s="289"/>
      <c r="N151" s="289"/>
      <c r="P151" s="288"/>
      <c r="Q151" s="288"/>
      <c r="R151" s="288"/>
      <c r="S151" s="288"/>
      <c r="T151" s="288"/>
    </row>
    <row r="152" spans="1:20" ht="7.5" customHeight="1">
      <c r="A152" s="357"/>
      <c r="B152" s="358"/>
      <c r="C152" s="357"/>
      <c r="D152" s="278"/>
      <c r="E152" s="279"/>
      <c r="F152" s="339" t="str">
        <f>IF(AND(D156="",D150=""),"",IF(F150="","",IF(F150&lt;F156,D156,D150)))</f>
        <v>黒澤　塁</v>
      </c>
      <c r="G152" s="340"/>
      <c r="H152" s="338">
        <v>10</v>
      </c>
      <c r="I152" s="275"/>
      <c r="J152" s="275"/>
      <c r="K152" s="286"/>
      <c r="L152" s="275"/>
      <c r="N152" s="275"/>
      <c r="P152" s="288"/>
      <c r="Q152" s="288"/>
      <c r="R152" s="288"/>
      <c r="S152" s="288"/>
      <c r="T152" s="288"/>
    </row>
    <row r="153" spans="1:20" ht="2.25" customHeight="1">
      <c r="A153" s="280"/>
      <c r="B153" s="281"/>
      <c r="C153" s="280"/>
      <c r="D153" s="282"/>
      <c r="E153" s="289"/>
      <c r="F153" s="341"/>
      <c r="G153" s="342"/>
      <c r="H153" s="338"/>
      <c r="J153" s="288"/>
      <c r="K153" s="286"/>
      <c r="L153" s="275"/>
      <c r="N153" s="275"/>
    </row>
    <row r="154" spans="1:20" ht="2.25" customHeight="1">
      <c r="A154" s="284"/>
      <c r="B154" s="285"/>
      <c r="C154" s="284"/>
      <c r="D154" s="282"/>
      <c r="E154" s="289"/>
      <c r="F154" s="341"/>
      <c r="G154" s="342"/>
      <c r="H154" s="338"/>
      <c r="J154" s="288"/>
      <c r="K154" s="286"/>
      <c r="L154" s="275"/>
      <c r="N154" s="275"/>
    </row>
    <row r="155" spans="1:20" ht="7.5" customHeight="1">
      <c r="A155" s="353">
        <v>39</v>
      </c>
      <c r="B155" s="355" t="str">
        <f>IF(ISERROR(VLOOKUP(A155,ｼｰﾄﾞ!$A$6:$C$69,2,0)),"",VLOOKUP(A155,ｼｰﾄﾞ!$A$6:$C$69,2,0))</f>
        <v>愛工大付属</v>
      </c>
      <c r="C155" s="353" t="str">
        <f>IF(ISERROR(VLOOKUP(A155,ｼｰﾄﾞ!$A$6:$C$69,3,0)),"",VLOOKUP(A155,ｼｰﾄﾞ!$A$6:$C$69,3,0))</f>
        <v>永津　稜麻</v>
      </c>
      <c r="D155" s="274">
        <v>5</v>
      </c>
      <c r="E155" s="286"/>
      <c r="F155" s="343"/>
      <c r="G155" s="344"/>
      <c r="H155" s="338"/>
      <c r="J155" s="288"/>
      <c r="K155" s="293"/>
      <c r="L155" s="275"/>
      <c r="P155" s="288"/>
      <c r="Q155" s="288"/>
      <c r="R155" s="288"/>
      <c r="S155" s="288"/>
      <c r="T155" s="288"/>
    </row>
    <row r="156" spans="1:20" ht="7.5" customHeight="1">
      <c r="A156" s="354"/>
      <c r="B156" s="356"/>
      <c r="C156" s="354"/>
      <c r="D156" s="339" t="str">
        <f>IF(B155="",C157,IF(D155="","",IF(D155&lt;D158,C157,C155)))</f>
        <v>白川　柊毅</v>
      </c>
      <c r="E156" s="340"/>
      <c r="F156" s="338">
        <v>4</v>
      </c>
      <c r="G156" s="287"/>
      <c r="J156" s="275"/>
      <c r="K156" s="286"/>
      <c r="L156" s="275"/>
      <c r="P156" s="288"/>
      <c r="Q156" s="288"/>
      <c r="R156" s="288"/>
      <c r="S156" s="288"/>
      <c r="T156" s="288"/>
    </row>
    <row r="157" spans="1:20" ht="7.5" customHeight="1">
      <c r="A157" s="354">
        <v>26</v>
      </c>
      <c r="B157" s="356" t="str">
        <f>IF(ISERROR(VLOOKUP(A157,ｼｰﾄﾞ!$A$6:$C$69,2,0)),"",VLOOKUP(A157,ｼｰﾄﾞ!$A$6:$C$69,2,0))</f>
        <v>滋賀ＪＦＣ</v>
      </c>
      <c r="C157" s="354" t="str">
        <f>IF(ISERROR(VLOOKUP(A157,ｼｰﾄﾞ!$A$6:$C$69,3,0)),"",VLOOKUP(A157,ｼｰﾄﾞ!$A$6:$C$69,3,0))</f>
        <v>白川　柊毅</v>
      </c>
      <c r="D157" s="343"/>
      <c r="E157" s="344"/>
      <c r="F157" s="338"/>
      <c r="G157" s="286"/>
      <c r="J157" s="275"/>
      <c r="K157" s="286"/>
      <c r="L157" s="275"/>
      <c r="P157" s="288"/>
      <c r="Q157" s="288"/>
      <c r="R157" s="288"/>
      <c r="S157" s="288"/>
      <c r="T157" s="288"/>
    </row>
    <row r="158" spans="1:20" ht="7.5" customHeight="1">
      <c r="A158" s="357"/>
      <c r="B158" s="358"/>
      <c r="C158" s="357"/>
      <c r="D158" s="278">
        <v>10</v>
      </c>
      <c r="G158" s="286"/>
      <c r="H158" s="339" t="str">
        <f>IF(AND(F164="",F152=""),"",IF(H152="","",IF(H164&lt;H152,F152,F164)))</f>
        <v>黒澤　塁</v>
      </c>
      <c r="I158" s="340"/>
      <c r="J158" s="346">
        <v>4</v>
      </c>
      <c r="K158" s="286"/>
      <c r="L158" s="275"/>
      <c r="N158" s="288"/>
      <c r="O158" s="288"/>
      <c r="P158" s="288"/>
      <c r="Q158" s="288"/>
      <c r="R158" s="288"/>
      <c r="S158" s="288"/>
      <c r="T158" s="288"/>
    </row>
    <row r="159" spans="1:20" ht="2.25" customHeight="1">
      <c r="A159" s="280"/>
      <c r="B159" s="281"/>
      <c r="C159" s="280"/>
      <c r="D159" s="282"/>
      <c r="E159" s="289"/>
      <c r="G159" s="286"/>
      <c r="H159" s="341"/>
      <c r="I159" s="342"/>
      <c r="J159" s="346"/>
      <c r="K159" s="286"/>
      <c r="L159" s="275"/>
      <c r="N159" s="275"/>
    </row>
    <row r="160" spans="1:20" ht="2.25" customHeight="1">
      <c r="A160" s="284"/>
      <c r="B160" s="285"/>
      <c r="C160" s="284"/>
      <c r="D160" s="282"/>
      <c r="E160" s="289"/>
      <c r="G160" s="286"/>
      <c r="H160" s="341"/>
      <c r="I160" s="342"/>
      <c r="J160" s="346"/>
      <c r="K160" s="286"/>
      <c r="L160" s="275"/>
      <c r="N160" s="275"/>
    </row>
    <row r="161" spans="1:20" ht="7.5" customHeight="1">
      <c r="A161" s="353">
        <v>23</v>
      </c>
      <c r="B161" s="355" t="str">
        <f>IF(ISERROR(VLOOKUP(A161,ｼｰﾄﾞ!$A$6:$C$69,2,0)),"",VLOOKUP(A161,ｼｰﾄﾞ!$A$6:$C$69,2,0))</f>
        <v>婦中ＪＦＣ</v>
      </c>
      <c r="C161" s="353" t="str">
        <f>IF(ISERROR(VLOOKUP(A161,ｼｰﾄﾞ!$A$6:$C$69,3,0)),"",VLOOKUP(A161,ｼｰﾄﾞ!$A$6:$C$69,3,0))</f>
        <v>横山　慶汰</v>
      </c>
      <c r="D161" s="274">
        <v>10</v>
      </c>
      <c r="E161" s="275"/>
      <c r="F161" s="276"/>
      <c r="G161" s="290"/>
      <c r="H161" s="343"/>
      <c r="I161" s="344"/>
      <c r="J161" s="346"/>
      <c r="K161" s="286"/>
      <c r="L161" s="275"/>
      <c r="N161" s="288"/>
      <c r="O161" s="288"/>
      <c r="P161" s="288"/>
      <c r="Q161" s="288"/>
      <c r="R161" s="288"/>
      <c r="S161" s="288"/>
      <c r="T161" s="288"/>
    </row>
    <row r="162" spans="1:20" ht="7.5" customHeight="1">
      <c r="A162" s="354"/>
      <c r="B162" s="356"/>
      <c r="C162" s="354"/>
      <c r="D162" s="339" t="str">
        <f>IF(B163="",C161,IF(D161="","",IF(D161&lt;D164,C163,C161)))</f>
        <v>横山　慶汰</v>
      </c>
      <c r="E162" s="340"/>
      <c r="F162" s="338">
        <v>6</v>
      </c>
      <c r="G162" s="290"/>
      <c r="I162" s="286"/>
      <c r="J162" s="275"/>
      <c r="K162" s="286"/>
      <c r="L162" s="275"/>
      <c r="N162" s="288"/>
      <c r="O162" s="288"/>
      <c r="P162" s="288"/>
      <c r="Q162" s="288"/>
      <c r="R162" s="288"/>
      <c r="S162" s="288"/>
      <c r="T162" s="288"/>
    </row>
    <row r="163" spans="1:20" ht="7.5" customHeight="1">
      <c r="A163" s="354">
        <v>42</v>
      </c>
      <c r="B163" s="356" t="str">
        <f>IF(ISERROR(VLOOKUP(A163,ｼｰﾄﾞ!$A$6:$C$69,2,0)),"",VLOOKUP(A163,ｼｰﾄﾞ!$A$6:$C$69,2,0))</f>
        <v>武生二中</v>
      </c>
      <c r="C163" s="354" t="str">
        <f>IF(ISERROR(VLOOKUP(A163,ｼｰﾄﾞ!$A$6:$C$69,3,0)),"",VLOOKUP(A163,ｼｰﾄﾞ!$A$6:$C$69,3,0))</f>
        <v>坂下　快斗</v>
      </c>
      <c r="D163" s="343"/>
      <c r="E163" s="344"/>
      <c r="F163" s="338"/>
      <c r="G163" s="290"/>
      <c r="I163" s="286"/>
      <c r="J163" s="288"/>
      <c r="K163" s="293"/>
      <c r="L163" s="275"/>
      <c r="M163" s="288"/>
      <c r="N163" s="288"/>
      <c r="O163" s="288"/>
      <c r="P163" s="288"/>
      <c r="Q163" s="288"/>
      <c r="R163" s="288"/>
      <c r="S163" s="288"/>
      <c r="T163" s="288"/>
    </row>
    <row r="164" spans="1:20" ht="7.5" customHeight="1">
      <c r="A164" s="357"/>
      <c r="B164" s="358"/>
      <c r="C164" s="357"/>
      <c r="D164" s="278">
        <v>2</v>
      </c>
      <c r="F164" s="339" t="str">
        <f>IF(AND(D168="",D162=""),"",IF(F162="","",IF(F162&lt;F168,D168,D162)))</f>
        <v>菊元　雪</v>
      </c>
      <c r="G164" s="340"/>
      <c r="H164" s="338">
        <v>5</v>
      </c>
      <c r="I164" s="286"/>
      <c r="J164" s="288"/>
      <c r="K164" s="293"/>
      <c r="L164" s="275"/>
      <c r="M164" s="288"/>
      <c r="N164" s="288"/>
      <c r="O164" s="288"/>
      <c r="P164" s="288"/>
      <c r="Q164" s="288"/>
      <c r="R164" s="288"/>
      <c r="S164" s="288"/>
      <c r="T164" s="288"/>
    </row>
    <row r="165" spans="1:20" ht="2.25" customHeight="1">
      <c r="A165" s="280"/>
      <c r="B165" s="281"/>
      <c r="C165" s="280"/>
      <c r="D165" s="282"/>
      <c r="E165" s="289"/>
      <c r="F165" s="341"/>
      <c r="G165" s="342"/>
      <c r="H165" s="338"/>
      <c r="I165" s="286"/>
      <c r="J165" s="288"/>
      <c r="K165" s="286"/>
      <c r="L165" s="275"/>
      <c r="N165" s="275"/>
    </row>
    <row r="166" spans="1:20" ht="2.25" customHeight="1">
      <c r="A166" s="284"/>
      <c r="B166" s="285"/>
      <c r="C166" s="284"/>
      <c r="D166" s="282"/>
      <c r="E166" s="289"/>
      <c r="F166" s="341"/>
      <c r="G166" s="342"/>
      <c r="H166" s="338"/>
      <c r="I166" s="286"/>
      <c r="J166" s="288"/>
      <c r="K166" s="286"/>
      <c r="L166" s="275"/>
      <c r="N166" s="275"/>
    </row>
    <row r="167" spans="1:20" ht="7.5" customHeight="1">
      <c r="A167" s="353">
        <v>55</v>
      </c>
      <c r="B167" s="355" t="str">
        <f>IF(ISERROR(VLOOKUP(A167,ｼｰﾄﾞ!$A$6:$C$69,2,0)),"",VLOOKUP(A167,ｼｰﾄﾞ!$A$6:$C$69,2,0))</f>
        <v/>
      </c>
      <c r="C167" s="353" t="str">
        <f>IF(ISERROR(VLOOKUP(A167,ｼｰﾄﾞ!$A$6:$C$69,3,0)),"",VLOOKUP(A167,ｼｰﾄﾞ!$A$6:$C$69,3,0))</f>
        <v/>
      </c>
      <c r="D167" s="274"/>
      <c r="E167" s="286"/>
      <c r="F167" s="343"/>
      <c r="G167" s="344"/>
      <c r="H167" s="338"/>
      <c r="I167" s="286"/>
      <c r="J167" s="275"/>
      <c r="K167" s="286"/>
      <c r="L167" s="275"/>
      <c r="M167" s="288"/>
      <c r="N167" s="288"/>
      <c r="O167" s="288"/>
      <c r="P167" s="288"/>
      <c r="Q167" s="288"/>
      <c r="R167" s="288"/>
      <c r="S167" s="288"/>
      <c r="T167" s="288"/>
    </row>
    <row r="168" spans="1:20" ht="7.5" customHeight="1">
      <c r="A168" s="354"/>
      <c r="B168" s="356"/>
      <c r="C168" s="354"/>
      <c r="D168" s="339" t="str">
        <f>IF(B167="",C169,IF(D167="","",IF(D167&lt;D170,C169,C167)))</f>
        <v>菊元　雪</v>
      </c>
      <c r="E168" s="340"/>
      <c r="F168" s="352">
        <v>10</v>
      </c>
      <c r="I168" s="286"/>
      <c r="J168" s="275"/>
      <c r="K168" s="286"/>
      <c r="L168" s="275"/>
      <c r="M168" s="288"/>
      <c r="N168" s="288"/>
      <c r="O168" s="288"/>
      <c r="P168" s="288"/>
      <c r="Q168" s="288"/>
      <c r="R168" s="288"/>
      <c r="S168" s="288"/>
      <c r="T168" s="288"/>
    </row>
    <row r="169" spans="1:20" ht="7.5" customHeight="1">
      <c r="A169" s="354">
        <v>10</v>
      </c>
      <c r="B169" s="356" t="str">
        <f>IF(ISERROR(VLOOKUP(A169,ｼｰﾄﾞ!$A$6:$C$69,2,0)),"",VLOOKUP(A169,ｼｰﾄﾞ!$A$6:$C$69,2,0))</f>
        <v>河南町フェンシング</v>
      </c>
      <c r="C169" s="354" t="str">
        <f>IF(ISERROR(VLOOKUP(A169,ｼｰﾄﾞ!$A$6:$C$69,3,0)),"",VLOOKUP(A169,ｼｰﾄﾞ!$A$6:$C$69,3,0))</f>
        <v>菊元　雪</v>
      </c>
      <c r="D169" s="343"/>
      <c r="E169" s="344"/>
      <c r="F169" s="338"/>
      <c r="G169" s="275"/>
      <c r="H169" s="275"/>
      <c r="I169" s="286"/>
      <c r="K169" s="298"/>
      <c r="L169" s="275"/>
      <c r="M169" s="288"/>
      <c r="N169" s="288"/>
      <c r="O169" s="288"/>
      <c r="P169" s="288"/>
      <c r="Q169" s="288"/>
      <c r="R169" s="288"/>
      <c r="S169" s="288"/>
      <c r="T169" s="288"/>
    </row>
    <row r="170" spans="1:20" ht="7.5" customHeight="1">
      <c r="A170" s="357"/>
      <c r="B170" s="358"/>
      <c r="C170" s="357"/>
      <c r="D170" s="278"/>
      <c r="E170" s="275"/>
      <c r="H170" s="275"/>
      <c r="I170" s="286"/>
      <c r="J170" s="339" t="str">
        <f>IF(AND(H182="",H158=""),"",IF(J158="","",IF(J182&lt;J158,H158,H182)))</f>
        <v>太田　拓輝</v>
      </c>
      <c r="K170" s="340"/>
      <c r="L170" s="338"/>
      <c r="M170" s="288"/>
      <c r="N170" s="288"/>
      <c r="O170" s="288"/>
      <c r="P170" s="288"/>
      <c r="Q170" s="288"/>
      <c r="R170" s="288"/>
      <c r="S170" s="288"/>
      <c r="T170" s="288"/>
    </row>
    <row r="171" spans="1:20" ht="2.25" customHeight="1">
      <c r="A171" s="280"/>
      <c r="B171" s="281"/>
      <c r="C171" s="280"/>
      <c r="D171" s="282"/>
      <c r="E171" s="289"/>
      <c r="H171" s="275"/>
      <c r="I171" s="286"/>
      <c r="J171" s="341"/>
      <c r="K171" s="342"/>
      <c r="L171" s="338"/>
      <c r="N171" s="275"/>
    </row>
    <row r="172" spans="1:20" ht="2.25" customHeight="1">
      <c r="A172" s="284"/>
      <c r="B172" s="285"/>
      <c r="C172" s="284"/>
      <c r="D172" s="282"/>
      <c r="E172" s="289"/>
      <c r="H172" s="275"/>
      <c r="I172" s="286"/>
      <c r="J172" s="341"/>
      <c r="K172" s="342"/>
      <c r="L172" s="338"/>
      <c r="N172" s="275"/>
    </row>
    <row r="173" spans="1:20" ht="7.5" customHeight="1">
      <c r="A173" s="353">
        <v>15</v>
      </c>
      <c r="B173" s="355" t="str">
        <f>IF(ISERROR(VLOOKUP(A173,ｼｰﾄﾞ!$A$6:$C$69,2,0)),"",VLOOKUP(A173,ｼｰﾄﾞ!$A$6:$C$69,2,0))</f>
        <v>箕輪中学校</v>
      </c>
      <c r="C173" s="353" t="str">
        <f>IF(ISERROR(VLOOKUP(A173,ｼｰﾄﾞ!$A$6:$C$69,3,0)),"",VLOOKUP(A173,ｼｰﾄﾞ!$A$6:$C$69,3,0))</f>
        <v>中村　駿太</v>
      </c>
      <c r="D173" s="274"/>
      <c r="E173" s="275"/>
      <c r="F173" s="276"/>
      <c r="G173" s="276"/>
      <c r="H173" s="275"/>
      <c r="I173" s="286"/>
      <c r="J173" s="343"/>
      <c r="K173" s="344"/>
      <c r="L173" s="338"/>
      <c r="M173" s="288"/>
      <c r="N173" s="288"/>
      <c r="O173" s="288"/>
      <c r="P173" s="288"/>
      <c r="Q173" s="288"/>
      <c r="R173" s="288"/>
      <c r="S173" s="288"/>
      <c r="T173" s="288"/>
    </row>
    <row r="174" spans="1:20" ht="7.5" customHeight="1">
      <c r="A174" s="354"/>
      <c r="B174" s="356"/>
      <c r="C174" s="354"/>
      <c r="D174" s="339" t="str">
        <f>IF(B175="",C173,IF(D173="","",IF(D173&lt;D176,C175,C173)))</f>
        <v>中村　駿太</v>
      </c>
      <c r="E174" s="340"/>
      <c r="F174" s="338">
        <v>3</v>
      </c>
      <c r="H174" s="275"/>
      <c r="I174" s="286"/>
      <c r="J174" s="275"/>
      <c r="K174" s="275"/>
      <c r="L174" s="275"/>
      <c r="M174" s="288"/>
      <c r="N174" s="288"/>
      <c r="O174" s="288"/>
      <c r="P174" s="288"/>
      <c r="Q174" s="288"/>
      <c r="R174" s="288"/>
      <c r="S174" s="288"/>
      <c r="T174" s="288"/>
    </row>
    <row r="175" spans="1:20" ht="7.5" customHeight="1">
      <c r="A175" s="354">
        <v>50</v>
      </c>
      <c r="B175" s="356" t="str">
        <f>IF(ISERROR(VLOOKUP(A175,ｼｰﾄﾞ!$A$6:$C$69,2,0)),"",VLOOKUP(A175,ｼｰﾄﾞ!$A$6:$C$69,2,0))</f>
        <v/>
      </c>
      <c r="C175" s="354" t="str">
        <f>IF(ISERROR(VLOOKUP(A175,ｼｰﾄﾞ!$A$6:$C$69,3,0)),"",VLOOKUP(A175,ｼｰﾄﾞ!$A$6:$C$69,3,0))</f>
        <v/>
      </c>
      <c r="D175" s="343"/>
      <c r="E175" s="344"/>
      <c r="F175" s="338"/>
      <c r="H175" s="275"/>
      <c r="I175" s="286"/>
      <c r="J175" s="275"/>
      <c r="K175" s="275"/>
      <c r="L175" s="275"/>
      <c r="M175" s="288"/>
      <c r="N175" s="288"/>
      <c r="O175" s="288"/>
      <c r="P175" s="288"/>
      <c r="Q175" s="288"/>
      <c r="R175" s="288"/>
      <c r="S175" s="288"/>
      <c r="T175" s="288"/>
    </row>
    <row r="176" spans="1:20" ht="7.5" customHeight="1">
      <c r="A176" s="357"/>
      <c r="B176" s="358"/>
      <c r="C176" s="357"/>
      <c r="D176" s="278"/>
      <c r="E176" s="279"/>
      <c r="F176" s="339" t="str">
        <f>IF(AND(D180="",D174=""),"",IF(F174="","",IF(F174&lt;F180,D180,D174)))</f>
        <v>林　祥太郎</v>
      </c>
      <c r="G176" s="340"/>
      <c r="H176" s="338">
        <v>3</v>
      </c>
      <c r="I176" s="286"/>
      <c r="J176" s="275"/>
      <c r="K176" s="275"/>
      <c r="L176" s="275"/>
      <c r="M176" s="288"/>
      <c r="N176" s="288"/>
      <c r="O176" s="288"/>
      <c r="P176" s="288"/>
      <c r="Q176" s="288"/>
      <c r="R176" s="288"/>
      <c r="S176" s="288"/>
      <c r="T176" s="288"/>
    </row>
    <row r="177" spans="1:20" ht="2.25" customHeight="1">
      <c r="A177" s="280"/>
      <c r="B177" s="281"/>
      <c r="C177" s="280"/>
      <c r="D177" s="282"/>
      <c r="E177" s="289"/>
      <c r="F177" s="341"/>
      <c r="G177" s="342"/>
      <c r="H177" s="338"/>
      <c r="I177" s="286"/>
      <c r="J177" s="275"/>
      <c r="K177" s="275"/>
      <c r="L177" s="275"/>
      <c r="N177" s="275"/>
    </row>
    <row r="178" spans="1:20" ht="2.25" customHeight="1">
      <c r="A178" s="284"/>
      <c r="B178" s="285"/>
      <c r="C178" s="284"/>
      <c r="D178" s="282"/>
      <c r="E178" s="289"/>
      <c r="F178" s="341"/>
      <c r="G178" s="342"/>
      <c r="H178" s="338"/>
      <c r="I178" s="286"/>
      <c r="J178" s="275"/>
      <c r="K178" s="275"/>
      <c r="L178" s="275"/>
      <c r="N178" s="275"/>
    </row>
    <row r="179" spans="1:20" ht="7.5" customHeight="1">
      <c r="A179" s="353">
        <v>47</v>
      </c>
      <c r="B179" s="355" t="str">
        <f>IF(ISERROR(VLOOKUP(A179,ｼｰﾄﾞ!$A$6:$C$69,2,0)),"",VLOOKUP(A179,ｼｰﾄﾞ!$A$6:$C$69,2,0))</f>
        <v>はしまモア</v>
      </c>
      <c r="C179" s="353" t="str">
        <f>IF(ISERROR(VLOOKUP(A179,ｼｰﾄﾞ!$A$6:$C$69,3,0)),"",VLOOKUP(A179,ｼｰﾄﾞ!$A$6:$C$69,3,0))</f>
        <v>木曽　瑞己</v>
      </c>
      <c r="D179" s="274">
        <v>0</v>
      </c>
      <c r="E179" s="286"/>
      <c r="F179" s="343"/>
      <c r="G179" s="344"/>
      <c r="H179" s="338"/>
      <c r="I179" s="286"/>
      <c r="J179" s="288"/>
      <c r="K179" s="288"/>
      <c r="L179" s="275"/>
      <c r="M179" s="288"/>
      <c r="N179" s="288"/>
      <c r="O179" s="288"/>
      <c r="P179" s="288"/>
      <c r="Q179" s="288"/>
      <c r="R179" s="288"/>
      <c r="S179" s="288"/>
      <c r="T179" s="288"/>
    </row>
    <row r="180" spans="1:20" ht="7.5" customHeight="1">
      <c r="A180" s="354"/>
      <c r="B180" s="356"/>
      <c r="C180" s="354"/>
      <c r="D180" s="339" t="str">
        <f>IF(B179="",C181,IF(D179="","",IF(D179&lt;D181,C181,C179)))</f>
        <v>林　祥太郎</v>
      </c>
      <c r="E180" s="340"/>
      <c r="F180" s="338">
        <v>10</v>
      </c>
      <c r="G180" s="287"/>
      <c r="I180" s="286"/>
      <c r="J180" s="275"/>
      <c r="K180" s="275"/>
      <c r="L180" s="275"/>
      <c r="M180" s="288"/>
      <c r="N180" s="288"/>
      <c r="O180" s="288"/>
      <c r="P180" s="288"/>
      <c r="Q180" s="288"/>
      <c r="R180" s="288"/>
      <c r="S180" s="288"/>
      <c r="T180" s="288"/>
    </row>
    <row r="181" spans="1:20" ht="7.5" customHeight="1">
      <c r="A181" s="354">
        <v>18</v>
      </c>
      <c r="B181" s="356" t="str">
        <f>IF(ISERROR(VLOOKUP(A181,ｼｰﾄﾞ!$A$6:$C$69,2,0)),"",VLOOKUP(A181,ｼｰﾄﾞ!$A$6:$C$69,2,0))</f>
        <v>ワセダクラブ</v>
      </c>
      <c r="C181" s="354" t="str">
        <f>IF(ISERROR(VLOOKUP(A181,ｼｰﾄﾞ!$A$6:$C$69,3,0)),"",VLOOKUP(A181,ｼｰﾄﾞ!$A$6:$C$69,3,0))</f>
        <v>林　祥太郎</v>
      </c>
      <c r="D181" s="343">
        <v>2</v>
      </c>
      <c r="E181" s="344"/>
      <c r="F181" s="338"/>
      <c r="G181" s="286"/>
      <c r="H181" s="275"/>
      <c r="I181" s="286"/>
      <c r="J181" s="275"/>
      <c r="K181" s="275"/>
      <c r="L181" s="288"/>
      <c r="P181" s="288"/>
      <c r="Q181" s="288"/>
      <c r="R181" s="288"/>
      <c r="S181" s="288"/>
      <c r="T181" s="288"/>
    </row>
    <row r="182" spans="1:20" ht="7.5" customHeight="1">
      <c r="A182" s="357"/>
      <c r="B182" s="358"/>
      <c r="C182" s="357"/>
      <c r="D182" s="278">
        <v>10</v>
      </c>
      <c r="G182" s="286"/>
      <c r="H182" s="339" t="str">
        <f>IF(AND(F188="",F176=""),"",IF(H176="","",IF(H188&lt;H176,F176,F188)))</f>
        <v>太田　拓輝</v>
      </c>
      <c r="I182" s="340"/>
      <c r="J182" s="346">
        <v>10</v>
      </c>
      <c r="K182" s="275"/>
      <c r="L182" s="350" t="s">
        <v>32</v>
      </c>
      <c r="M182" s="350"/>
      <c r="P182" s="288"/>
      <c r="Q182" s="288"/>
      <c r="R182" s="288"/>
      <c r="S182" s="288"/>
      <c r="T182" s="288"/>
    </row>
    <row r="183" spans="1:20" ht="2.25" customHeight="1">
      <c r="A183" s="280"/>
      <c r="B183" s="281"/>
      <c r="C183" s="280"/>
      <c r="D183" s="282"/>
      <c r="E183" s="289"/>
      <c r="G183" s="286"/>
      <c r="H183" s="341"/>
      <c r="I183" s="342"/>
      <c r="J183" s="346"/>
      <c r="K183" s="275"/>
      <c r="L183" s="350"/>
      <c r="M183" s="350"/>
      <c r="N183" s="275"/>
    </row>
    <row r="184" spans="1:20" ht="2.25" customHeight="1">
      <c r="A184" s="284"/>
      <c r="B184" s="285"/>
      <c r="C184" s="284"/>
      <c r="D184" s="282"/>
      <c r="E184" s="289"/>
      <c r="G184" s="286"/>
      <c r="H184" s="341"/>
      <c r="I184" s="342"/>
      <c r="J184" s="346"/>
      <c r="K184" s="275"/>
      <c r="L184" s="350"/>
      <c r="M184" s="350"/>
      <c r="N184" s="275"/>
    </row>
    <row r="185" spans="1:20" ht="7.5" customHeight="1">
      <c r="A185" s="353">
        <v>31</v>
      </c>
      <c r="B185" s="355" t="str">
        <f>IF(ISERROR(VLOOKUP(A185,ｼｰﾄﾞ!$A$6:$C$69,2,0)),"",VLOOKUP(A185,ｼｰﾄﾞ!$A$6:$C$69,2,0))</f>
        <v>はしまモア</v>
      </c>
      <c r="C185" s="353" t="str">
        <f>IF(ISERROR(VLOOKUP(A185,ｼｰﾄﾞ!$A$6:$C$69,3,0)),"",VLOOKUP(A185,ｼｰﾄﾞ!$A$6:$C$69,3,0))</f>
        <v>光田　陽翔</v>
      </c>
      <c r="D185" s="274">
        <v>5</v>
      </c>
      <c r="E185" s="275"/>
      <c r="F185" s="276"/>
      <c r="G185" s="290"/>
      <c r="H185" s="343"/>
      <c r="I185" s="344"/>
      <c r="J185" s="346"/>
      <c r="K185" s="275"/>
      <c r="L185" s="351"/>
      <c r="M185" s="351"/>
      <c r="P185" s="288"/>
      <c r="Q185" s="288"/>
      <c r="R185" s="288"/>
      <c r="S185" s="288"/>
      <c r="T185" s="288"/>
    </row>
    <row r="186" spans="1:20" ht="7.5" customHeight="1">
      <c r="A186" s="354"/>
      <c r="B186" s="356"/>
      <c r="C186" s="354"/>
      <c r="D186" s="339" t="str">
        <f>IF(B187="",C185,IF(D185="","",IF(D185&lt;D188,C187,C185)))</f>
        <v>大橋　拓叶</v>
      </c>
      <c r="E186" s="340"/>
      <c r="F186" s="338">
        <v>2</v>
      </c>
      <c r="G186" s="290"/>
      <c r="I186" s="275"/>
      <c r="J186" s="275"/>
      <c r="K186" s="275"/>
      <c r="L186" s="339" t="str">
        <f>IF(J26="","",IF(L74&lt;L26,J74,J26))</f>
        <v>福田　亮介</v>
      </c>
      <c r="M186" s="340"/>
      <c r="N186" s="347"/>
      <c r="Q186" s="288"/>
      <c r="R186" s="288"/>
      <c r="S186" s="288"/>
      <c r="T186" s="288"/>
    </row>
    <row r="187" spans="1:20" ht="7.5" customHeight="1">
      <c r="A187" s="354">
        <v>34</v>
      </c>
      <c r="B187" s="356" t="str">
        <f>IF(ISERROR(VLOOKUP(A187,ｼｰﾄﾞ!$A$6:$C$69,2,0)),"",VLOOKUP(A187,ｼｰﾄﾞ!$A$6:$C$69,2,0))</f>
        <v>はしまモア</v>
      </c>
      <c r="C187" s="354" t="str">
        <f>IF(ISERROR(VLOOKUP(A187,ｼｰﾄﾞ!$A$6:$C$69,3,0)),"",VLOOKUP(A187,ｼｰﾄﾞ!$A$6:$C$69,3,0))</f>
        <v>大橋　拓叶</v>
      </c>
      <c r="D187" s="343"/>
      <c r="E187" s="344"/>
      <c r="F187" s="338"/>
      <c r="G187" s="290"/>
      <c r="H187" s="275"/>
      <c r="I187" s="275"/>
      <c r="L187" s="343"/>
      <c r="M187" s="344"/>
      <c r="N187" s="348"/>
      <c r="Q187" s="288"/>
      <c r="R187" s="288"/>
      <c r="S187" s="288"/>
      <c r="T187" s="288"/>
    </row>
    <row r="188" spans="1:20" ht="7.5" customHeight="1">
      <c r="A188" s="357"/>
      <c r="B188" s="358"/>
      <c r="C188" s="357"/>
      <c r="D188" s="278">
        <v>10</v>
      </c>
      <c r="F188" s="339" t="str">
        <f>IF(AND(D192="",D186=""),"",IF(F186="","",IF(F186&lt;F192,D192,D186)))</f>
        <v>太田　拓輝</v>
      </c>
      <c r="G188" s="340"/>
      <c r="H188" s="338">
        <v>10</v>
      </c>
      <c r="L188" s="288"/>
      <c r="M188" s="288"/>
      <c r="N188" s="339" t="str">
        <f>IF(N186="","",IF(N192&lt;N186,L186,L192))</f>
        <v/>
      </c>
      <c r="O188" s="340"/>
      <c r="P188" s="349" t="s">
        <v>34</v>
      </c>
      <c r="Q188" s="288"/>
      <c r="R188" s="288"/>
      <c r="S188" s="288"/>
      <c r="T188" s="288"/>
    </row>
    <row r="189" spans="1:20" ht="2.25" customHeight="1">
      <c r="A189" s="280"/>
      <c r="B189" s="281"/>
      <c r="C189" s="280"/>
      <c r="D189" s="282"/>
      <c r="E189" s="289"/>
      <c r="F189" s="341"/>
      <c r="G189" s="342"/>
      <c r="H189" s="338"/>
      <c r="K189" s="275"/>
      <c r="L189" s="288"/>
      <c r="M189" s="288"/>
      <c r="N189" s="341"/>
      <c r="O189" s="342"/>
      <c r="P189" s="349"/>
    </row>
    <row r="190" spans="1:20" ht="2.25" customHeight="1">
      <c r="A190" s="284"/>
      <c r="B190" s="285"/>
      <c r="C190" s="284"/>
      <c r="D190" s="282"/>
      <c r="E190" s="289"/>
      <c r="F190" s="341"/>
      <c r="G190" s="342"/>
      <c r="H190" s="338"/>
      <c r="K190" s="275"/>
      <c r="L190" s="288"/>
      <c r="M190" s="288"/>
      <c r="N190" s="341"/>
      <c r="O190" s="342"/>
      <c r="P190" s="349"/>
    </row>
    <row r="191" spans="1:20" ht="7.5" customHeight="1">
      <c r="A191" s="353">
        <v>63</v>
      </c>
      <c r="B191" s="355" t="str">
        <f>IF(ISERROR(VLOOKUP(A191,ｼｰﾄﾞ!$A$6:$C$69,2,0)),"",VLOOKUP(A191,ｼｰﾄﾞ!$A$6:$C$69,2,0))</f>
        <v/>
      </c>
      <c r="C191" s="353" t="str">
        <f>IF(ISERROR(VLOOKUP(A191,ｼｰﾄﾞ!$A$6:$C$69,3,0)),"",VLOOKUP(A191,ｼｰﾄﾞ!$A$6:$C$69,3,0))</f>
        <v/>
      </c>
      <c r="D191" s="274"/>
      <c r="E191" s="286"/>
      <c r="F191" s="343"/>
      <c r="G191" s="344"/>
      <c r="H191" s="338"/>
      <c r="I191" s="275"/>
      <c r="J191" s="275"/>
      <c r="K191" s="275"/>
      <c r="L191" s="288"/>
      <c r="M191" s="288"/>
      <c r="N191" s="343"/>
      <c r="O191" s="344"/>
      <c r="P191" s="349"/>
      <c r="Q191" s="288"/>
      <c r="R191" s="288"/>
      <c r="S191" s="288"/>
      <c r="T191" s="288"/>
    </row>
    <row r="192" spans="1:20" ht="7.5" customHeight="1">
      <c r="A192" s="354"/>
      <c r="B192" s="356"/>
      <c r="C192" s="354"/>
      <c r="D192" s="339" t="str">
        <f>IF(B191="",C193,IF(D191="","",IF(D191&lt;D194,C193,C191)))</f>
        <v>太田　拓輝</v>
      </c>
      <c r="E192" s="340"/>
      <c r="F192" s="352">
        <v>10</v>
      </c>
      <c r="H192" s="275"/>
      <c r="I192" s="275"/>
      <c r="J192" s="275"/>
      <c r="K192" s="275"/>
      <c r="L192" s="339" t="str">
        <f>IF(J122="","",IF(L122&lt;L170,J122,J170))</f>
        <v>太田　拓輝</v>
      </c>
      <c r="M192" s="340"/>
      <c r="N192" s="347"/>
      <c r="O192" s="294"/>
      <c r="P192" s="288"/>
      <c r="Q192" s="288"/>
      <c r="R192" s="288"/>
      <c r="S192" s="288"/>
      <c r="T192" s="288"/>
    </row>
    <row r="193" spans="1:20" ht="7.5" customHeight="1">
      <c r="A193" s="354">
        <v>2</v>
      </c>
      <c r="B193" s="356" t="str">
        <f>IF(ISERROR(VLOOKUP(A193,ｼｰﾄﾞ!$A$6:$C$69,2,0)),"",VLOOKUP(A193,ｼｰﾄﾞ!$A$6:$C$69,2,0))</f>
        <v>愛工大付属</v>
      </c>
      <c r="C193" s="354" t="str">
        <f>IF(ISERROR(VLOOKUP(A193,ｼｰﾄﾞ!$A$6:$C$69,3,0)),"",VLOOKUP(A193,ｼｰﾄﾞ!$A$6:$C$69,3,0))</f>
        <v>太田　拓輝</v>
      </c>
      <c r="D193" s="343"/>
      <c r="E193" s="344"/>
      <c r="F193" s="338"/>
      <c r="G193" s="275"/>
      <c r="H193" s="275"/>
      <c r="I193" s="275"/>
      <c r="J193" s="275"/>
      <c r="K193" s="275"/>
      <c r="L193" s="343"/>
      <c r="M193" s="344"/>
      <c r="N193" s="347"/>
      <c r="P193" s="288"/>
      <c r="Q193" s="288"/>
      <c r="R193" s="288"/>
      <c r="S193" s="288"/>
      <c r="T193" s="288"/>
    </row>
    <row r="194" spans="1:20" ht="7.5" customHeight="1">
      <c r="A194" s="357"/>
      <c r="B194" s="358"/>
      <c r="C194" s="357"/>
      <c r="D194" s="274"/>
      <c r="E194" s="275"/>
      <c r="H194" s="275"/>
      <c r="I194" s="275"/>
      <c r="J194" s="275"/>
      <c r="K194" s="275"/>
      <c r="L194" s="271"/>
      <c r="P194" s="288"/>
      <c r="Q194" s="288"/>
      <c r="R194" s="288"/>
      <c r="S194" s="288"/>
      <c r="T194" s="288"/>
    </row>
    <row r="195" spans="1:20" ht="12">
      <c r="A195" s="299"/>
      <c r="B195" s="300" t="s">
        <v>54</v>
      </c>
      <c r="C195" s="301" t="s">
        <v>55</v>
      </c>
      <c r="D195" s="282"/>
      <c r="E195" s="275"/>
      <c r="F195" s="276"/>
      <c r="G195" s="276"/>
      <c r="L195" s="294"/>
      <c r="M195" s="288"/>
      <c r="N195" s="288"/>
      <c r="O195" s="288"/>
      <c r="P195" s="288"/>
      <c r="Q195" s="288"/>
      <c r="R195" s="288"/>
      <c r="S195" s="288"/>
      <c r="T195" s="288"/>
    </row>
    <row r="196" spans="1:20" ht="9" customHeight="1">
      <c r="A196" s="288"/>
      <c r="B196" s="288"/>
      <c r="C196" s="302"/>
      <c r="M196" s="288"/>
      <c r="N196" s="288"/>
      <c r="O196" s="288"/>
      <c r="P196" s="288"/>
      <c r="Q196" s="288"/>
      <c r="R196" s="288"/>
      <c r="S196" s="288"/>
      <c r="T196" s="288"/>
    </row>
    <row r="197" spans="1:20" ht="9" customHeight="1">
      <c r="M197" s="288"/>
      <c r="N197" s="288"/>
      <c r="O197" s="288"/>
      <c r="P197" s="288"/>
      <c r="Q197" s="288"/>
      <c r="R197" s="288"/>
      <c r="S197" s="288"/>
      <c r="T197" s="288"/>
    </row>
    <row r="198" spans="1:20" ht="9" customHeight="1">
      <c r="M198" s="288"/>
      <c r="N198" s="288"/>
      <c r="O198" s="288"/>
      <c r="P198" s="288"/>
      <c r="Q198" s="288"/>
      <c r="R198" s="288"/>
      <c r="S198" s="288"/>
      <c r="T198" s="288"/>
    </row>
    <row r="199" spans="1:20" ht="9" customHeight="1">
      <c r="M199" s="288"/>
      <c r="N199" s="288"/>
      <c r="O199" s="288"/>
      <c r="P199" s="288"/>
      <c r="Q199" s="288"/>
      <c r="R199" s="288"/>
      <c r="S199" s="288"/>
      <c r="T199" s="288"/>
    </row>
    <row r="200" spans="1:20" ht="9" customHeight="1">
      <c r="M200" s="288"/>
      <c r="N200" s="288"/>
      <c r="O200" s="288"/>
      <c r="P200" s="288"/>
      <c r="Q200" s="288"/>
      <c r="R200" s="288"/>
      <c r="S200" s="288"/>
      <c r="T200" s="288"/>
    </row>
    <row r="201" spans="1:20" ht="9" customHeight="1">
      <c r="M201" s="288"/>
      <c r="N201" s="288"/>
      <c r="O201" s="288"/>
      <c r="P201" s="288"/>
      <c r="Q201" s="288"/>
      <c r="R201" s="288"/>
      <c r="S201" s="288"/>
      <c r="T201" s="288"/>
    </row>
    <row r="202" spans="1:20" ht="9" customHeight="1">
      <c r="M202" s="288"/>
      <c r="N202" s="288"/>
      <c r="O202" s="288"/>
      <c r="P202" s="288"/>
      <c r="Q202" s="288"/>
      <c r="R202" s="288"/>
      <c r="S202" s="288"/>
      <c r="T202" s="288"/>
    </row>
    <row r="203" spans="1:20" ht="9" customHeight="1">
      <c r="M203" s="288"/>
      <c r="N203" s="288"/>
      <c r="O203" s="288"/>
      <c r="P203" s="288"/>
      <c r="Q203" s="288"/>
      <c r="R203" s="288"/>
      <c r="S203" s="288"/>
      <c r="T203" s="288"/>
    </row>
    <row r="204" spans="1:20" ht="9" customHeight="1">
      <c r="M204" s="288"/>
      <c r="N204" s="288"/>
      <c r="O204" s="288"/>
      <c r="P204" s="288"/>
      <c r="Q204" s="288"/>
      <c r="R204" s="288"/>
      <c r="S204" s="288"/>
      <c r="T204" s="288"/>
    </row>
    <row r="205" spans="1:20" ht="9" customHeight="1">
      <c r="M205" s="288"/>
      <c r="N205" s="288"/>
      <c r="O205" s="288"/>
      <c r="P205" s="288"/>
      <c r="Q205" s="288"/>
      <c r="R205" s="288"/>
      <c r="S205" s="288"/>
      <c r="T205" s="288"/>
    </row>
    <row r="206" spans="1:20" ht="9" customHeight="1">
      <c r="M206" s="288"/>
      <c r="N206" s="288"/>
      <c r="O206" s="288"/>
      <c r="P206" s="288"/>
      <c r="Q206" s="288"/>
      <c r="R206" s="288"/>
      <c r="S206" s="288"/>
      <c r="T206" s="288"/>
    </row>
    <row r="207" spans="1:20" ht="9" customHeight="1">
      <c r="M207" s="288"/>
      <c r="N207" s="288"/>
      <c r="O207" s="288"/>
      <c r="P207" s="288"/>
      <c r="Q207" s="288"/>
      <c r="R207" s="288"/>
      <c r="S207" s="288"/>
      <c r="T207" s="288"/>
    </row>
    <row r="208" spans="1:20" ht="9" customHeight="1">
      <c r="M208" s="288"/>
      <c r="N208" s="288"/>
      <c r="O208" s="288"/>
      <c r="P208" s="288"/>
      <c r="Q208" s="288"/>
      <c r="R208" s="288"/>
      <c r="S208" s="288"/>
      <c r="T208" s="288"/>
    </row>
    <row r="209" spans="13:20" ht="9" customHeight="1">
      <c r="M209" s="288"/>
      <c r="N209" s="288"/>
      <c r="O209" s="288"/>
      <c r="P209" s="288"/>
      <c r="Q209" s="288"/>
      <c r="R209" s="288"/>
      <c r="S209" s="288"/>
      <c r="T209" s="288"/>
    </row>
    <row r="210" spans="13:20" ht="9" customHeight="1">
      <c r="M210" s="288"/>
      <c r="N210" s="288"/>
      <c r="O210" s="288"/>
      <c r="P210" s="288"/>
      <c r="Q210" s="288"/>
      <c r="R210" s="288"/>
      <c r="S210" s="288"/>
      <c r="T210" s="288"/>
    </row>
    <row r="211" spans="13:20" ht="9" customHeight="1">
      <c r="M211" s="288"/>
      <c r="N211" s="288"/>
      <c r="O211" s="288"/>
      <c r="P211" s="288"/>
      <c r="Q211" s="288"/>
      <c r="R211" s="288"/>
      <c r="S211" s="288"/>
      <c r="T211" s="288"/>
    </row>
    <row r="212" spans="13:20" ht="9" customHeight="1">
      <c r="M212" s="288"/>
      <c r="N212" s="288"/>
      <c r="O212" s="288"/>
      <c r="P212" s="288"/>
      <c r="Q212" s="288"/>
      <c r="R212" s="288"/>
      <c r="S212" s="288"/>
      <c r="T212" s="288"/>
    </row>
    <row r="213" spans="13:20" ht="9" customHeight="1">
      <c r="M213" s="288"/>
      <c r="N213" s="288"/>
      <c r="O213" s="288"/>
      <c r="P213" s="288"/>
      <c r="Q213" s="288"/>
      <c r="R213" s="288"/>
      <c r="S213" s="288"/>
      <c r="T213" s="288"/>
    </row>
    <row r="214" spans="13:20" ht="9" customHeight="1">
      <c r="M214" s="288"/>
      <c r="N214" s="288"/>
      <c r="O214" s="288"/>
      <c r="P214" s="288"/>
      <c r="Q214" s="288"/>
      <c r="R214" s="288"/>
      <c r="S214" s="288"/>
      <c r="T214" s="288"/>
    </row>
    <row r="215" spans="13:20" ht="9" customHeight="1">
      <c r="M215" s="288"/>
      <c r="N215" s="288"/>
      <c r="O215" s="288"/>
      <c r="P215" s="288"/>
      <c r="Q215" s="288"/>
      <c r="R215" s="288"/>
      <c r="S215" s="288"/>
      <c r="T215" s="288"/>
    </row>
    <row r="216" spans="13:20" ht="9" customHeight="1">
      <c r="M216" s="288"/>
      <c r="N216" s="288"/>
      <c r="O216" s="288"/>
      <c r="P216" s="288"/>
      <c r="Q216" s="288"/>
      <c r="R216" s="288"/>
      <c r="S216" s="288"/>
      <c r="T216" s="288"/>
    </row>
    <row r="217" spans="13:20" ht="9" customHeight="1">
      <c r="M217" s="288"/>
      <c r="N217" s="288"/>
      <c r="O217" s="288"/>
      <c r="P217" s="288"/>
      <c r="Q217" s="288"/>
      <c r="R217" s="288"/>
      <c r="S217" s="288"/>
      <c r="T217" s="288"/>
    </row>
    <row r="218" spans="13:20" ht="9" customHeight="1">
      <c r="M218" s="288"/>
      <c r="N218" s="288"/>
      <c r="O218" s="288"/>
      <c r="P218" s="288"/>
      <c r="Q218" s="288"/>
      <c r="R218" s="288"/>
      <c r="S218" s="288"/>
      <c r="T218" s="288"/>
    </row>
    <row r="219" spans="13:20" ht="9" customHeight="1">
      <c r="M219" s="288"/>
      <c r="N219" s="288"/>
      <c r="O219" s="288"/>
      <c r="P219" s="288"/>
      <c r="Q219" s="288"/>
      <c r="R219" s="288"/>
      <c r="S219" s="288"/>
      <c r="T219" s="288"/>
    </row>
    <row r="220" spans="13:20" ht="9" customHeight="1">
      <c r="M220" s="288"/>
      <c r="N220" s="288"/>
      <c r="O220" s="288"/>
      <c r="P220" s="288"/>
      <c r="Q220" s="288"/>
      <c r="R220" s="288"/>
      <c r="S220" s="288"/>
      <c r="T220" s="288"/>
    </row>
    <row r="221" spans="13:20" ht="9" customHeight="1">
      <c r="M221" s="288"/>
      <c r="N221" s="288"/>
      <c r="O221" s="288"/>
      <c r="P221" s="288"/>
      <c r="Q221" s="288"/>
      <c r="R221" s="288"/>
      <c r="S221" s="288"/>
      <c r="T221" s="288"/>
    </row>
    <row r="222" spans="13:20" ht="9" customHeight="1">
      <c r="M222" s="288"/>
      <c r="N222" s="288"/>
      <c r="O222" s="288"/>
      <c r="P222" s="288"/>
      <c r="Q222" s="288"/>
      <c r="R222" s="288"/>
      <c r="S222" s="288"/>
      <c r="T222" s="288"/>
    </row>
    <row r="223" spans="13:20" ht="9" customHeight="1">
      <c r="M223" s="288"/>
      <c r="N223" s="288"/>
      <c r="O223" s="288"/>
      <c r="P223" s="288"/>
      <c r="Q223" s="288"/>
      <c r="R223" s="288"/>
      <c r="S223" s="288"/>
      <c r="T223" s="288"/>
    </row>
    <row r="224" spans="13:20" ht="9" customHeight="1">
      <c r="M224" s="288"/>
      <c r="N224" s="288"/>
      <c r="O224" s="288"/>
      <c r="P224" s="288"/>
      <c r="Q224" s="288"/>
      <c r="R224" s="288"/>
      <c r="S224" s="288"/>
      <c r="T224" s="288"/>
    </row>
    <row r="225" spans="17:20" ht="9" customHeight="1">
      <c r="Q225" s="288"/>
      <c r="R225" s="288"/>
      <c r="S225" s="288"/>
      <c r="T225" s="288"/>
    </row>
    <row r="226" spans="17:20" ht="9" customHeight="1">
      <c r="Q226" s="288"/>
      <c r="R226" s="288"/>
      <c r="S226" s="288"/>
      <c r="T226" s="288"/>
    </row>
  </sheetData>
  <sheetProtection sheet="1" objects="1" scenarios="1" selectLockedCells="1"/>
  <mergeCells count="337">
    <mergeCell ref="J26:K29"/>
    <mergeCell ref="H56:H59"/>
    <mergeCell ref="D30:E31"/>
    <mergeCell ref="D36:E37"/>
    <mergeCell ref="M2:P2"/>
    <mergeCell ref="A1:L1"/>
    <mergeCell ref="A7:A8"/>
    <mergeCell ref="C11:C12"/>
    <mergeCell ref="B11:B12"/>
    <mergeCell ref="A11:A12"/>
    <mergeCell ref="O8:P11"/>
    <mergeCell ref="A2:C2"/>
    <mergeCell ref="D2:G2"/>
    <mergeCell ref="C5:C6"/>
    <mergeCell ref="M8:N11"/>
    <mergeCell ref="M6:N7"/>
    <mergeCell ref="O12:P13"/>
    <mergeCell ref="F44:G47"/>
    <mergeCell ref="F48:F49"/>
    <mergeCell ref="F54:F55"/>
    <mergeCell ref="F56:G59"/>
    <mergeCell ref="J38:J41"/>
    <mergeCell ref="A5:A6"/>
    <mergeCell ref="D6:E7"/>
    <mergeCell ref="A121:A122"/>
    <mergeCell ref="B121:B122"/>
    <mergeCell ref="C121:C122"/>
    <mergeCell ref="H32:H35"/>
    <mergeCell ref="F36:F37"/>
    <mergeCell ref="F32:G35"/>
    <mergeCell ref="F42:F43"/>
    <mergeCell ref="A119:A120"/>
    <mergeCell ref="B119:B120"/>
    <mergeCell ref="C119:C120"/>
    <mergeCell ref="F60:F61"/>
    <mergeCell ref="F66:F67"/>
    <mergeCell ref="D60:E61"/>
    <mergeCell ref="D54:E55"/>
    <mergeCell ref="H38:I41"/>
    <mergeCell ref="H44:H47"/>
    <mergeCell ref="C31:C32"/>
    <mergeCell ref="B31:B32"/>
    <mergeCell ref="A31:A32"/>
    <mergeCell ref="C35:C36"/>
    <mergeCell ref="B35:B36"/>
    <mergeCell ref="A35:A36"/>
    <mergeCell ref="C37:C38"/>
    <mergeCell ref="B37:B38"/>
    <mergeCell ref="J86:J89"/>
    <mergeCell ref="H80:H83"/>
    <mergeCell ref="J74:K77"/>
    <mergeCell ref="J62:J65"/>
    <mergeCell ref="H68:H71"/>
    <mergeCell ref="H62:I65"/>
    <mergeCell ref="F138:F139"/>
    <mergeCell ref="F140:G143"/>
    <mergeCell ref="A125:A126"/>
    <mergeCell ref="B125:B126"/>
    <mergeCell ref="C125:C126"/>
    <mergeCell ref="H104:H107"/>
    <mergeCell ref="D66:E67"/>
    <mergeCell ref="C61:C62"/>
    <mergeCell ref="B61:B62"/>
    <mergeCell ref="A61:A62"/>
    <mergeCell ref="C65:C66"/>
    <mergeCell ref="B65:B66"/>
    <mergeCell ref="A65:A66"/>
    <mergeCell ref="C67:C68"/>
    <mergeCell ref="B67:B68"/>
    <mergeCell ref="A67:A68"/>
    <mergeCell ref="C71:C72"/>
    <mergeCell ref="B71:B72"/>
    <mergeCell ref="H152:H155"/>
    <mergeCell ref="H140:H143"/>
    <mergeCell ref="D138:E139"/>
    <mergeCell ref="D114:E115"/>
    <mergeCell ref="F114:F115"/>
    <mergeCell ref="F116:G119"/>
    <mergeCell ref="D120:E121"/>
    <mergeCell ref="F152:G155"/>
    <mergeCell ref="F68:G71"/>
    <mergeCell ref="F120:F121"/>
    <mergeCell ref="F126:F127"/>
    <mergeCell ref="F128:G131"/>
    <mergeCell ref="D132:E133"/>
    <mergeCell ref="H188:H191"/>
    <mergeCell ref="H134:I137"/>
    <mergeCell ref="H128:H131"/>
    <mergeCell ref="H116:H119"/>
    <mergeCell ref="H110:I113"/>
    <mergeCell ref="F156:F157"/>
    <mergeCell ref="D84:E85"/>
    <mergeCell ref="F84:F85"/>
    <mergeCell ref="D90:E91"/>
    <mergeCell ref="F90:F91"/>
    <mergeCell ref="F104:G107"/>
    <mergeCell ref="D108:E109"/>
    <mergeCell ref="F108:F109"/>
    <mergeCell ref="H92:H95"/>
    <mergeCell ref="H86:I89"/>
    <mergeCell ref="F132:F133"/>
    <mergeCell ref="D162:E163"/>
    <mergeCell ref="F162:F163"/>
    <mergeCell ref="D144:E145"/>
    <mergeCell ref="F144:F145"/>
    <mergeCell ref="D156:E157"/>
    <mergeCell ref="F164:G167"/>
    <mergeCell ref="D150:E151"/>
    <mergeCell ref="F150:F151"/>
    <mergeCell ref="C17:C18"/>
    <mergeCell ref="B17:B18"/>
    <mergeCell ref="B5:B6"/>
    <mergeCell ref="A17:A18"/>
    <mergeCell ref="D18:E19"/>
    <mergeCell ref="C19:C20"/>
    <mergeCell ref="B19:B20"/>
    <mergeCell ref="A19:A20"/>
    <mergeCell ref="J14:J17"/>
    <mergeCell ref="C7:C8"/>
    <mergeCell ref="B7:B8"/>
    <mergeCell ref="C13:C14"/>
    <mergeCell ref="B13:B14"/>
    <mergeCell ref="A13:A14"/>
    <mergeCell ref="F8:G11"/>
    <mergeCell ref="F6:F7"/>
    <mergeCell ref="F12:F13"/>
    <mergeCell ref="D12:E13"/>
    <mergeCell ref="C23:C24"/>
    <mergeCell ref="B23:B24"/>
    <mergeCell ref="A23:A24"/>
    <mergeCell ref="D24:E25"/>
    <mergeCell ref="C25:C26"/>
    <mergeCell ref="B25:B26"/>
    <mergeCell ref="A25:A26"/>
    <mergeCell ref="C29:C30"/>
    <mergeCell ref="B29:B30"/>
    <mergeCell ref="A29:A30"/>
    <mergeCell ref="A37:A38"/>
    <mergeCell ref="C41:C42"/>
    <mergeCell ref="B41:B42"/>
    <mergeCell ref="A41:A42"/>
    <mergeCell ref="D42:E43"/>
    <mergeCell ref="C43:C44"/>
    <mergeCell ref="B43:B44"/>
    <mergeCell ref="A43:A44"/>
    <mergeCell ref="C47:C48"/>
    <mergeCell ref="B47:B48"/>
    <mergeCell ref="A47:A48"/>
    <mergeCell ref="D48:E49"/>
    <mergeCell ref="C49:C50"/>
    <mergeCell ref="B49:B50"/>
    <mergeCell ref="A49:A50"/>
    <mergeCell ref="C53:C54"/>
    <mergeCell ref="B53:B54"/>
    <mergeCell ref="A53:A54"/>
    <mergeCell ref="C55:C56"/>
    <mergeCell ref="B55:B56"/>
    <mergeCell ref="A55:A56"/>
    <mergeCell ref="C59:C60"/>
    <mergeCell ref="B59:B60"/>
    <mergeCell ref="A59:A60"/>
    <mergeCell ref="A71:A72"/>
    <mergeCell ref="C73:C74"/>
    <mergeCell ref="B73:B74"/>
    <mergeCell ref="A73:A74"/>
    <mergeCell ref="A77:A78"/>
    <mergeCell ref="B77:B78"/>
    <mergeCell ref="C77:C78"/>
    <mergeCell ref="A79:A80"/>
    <mergeCell ref="B79:B80"/>
    <mergeCell ref="C79:C80"/>
    <mergeCell ref="A83:A84"/>
    <mergeCell ref="B83:B84"/>
    <mergeCell ref="C83:C84"/>
    <mergeCell ref="A85:A86"/>
    <mergeCell ref="B85:B86"/>
    <mergeCell ref="C85:C86"/>
    <mergeCell ref="A89:A90"/>
    <mergeCell ref="B89:B90"/>
    <mergeCell ref="C89:C90"/>
    <mergeCell ref="A91:A92"/>
    <mergeCell ref="B91:B92"/>
    <mergeCell ref="C91:C92"/>
    <mergeCell ref="A95:A96"/>
    <mergeCell ref="B95:B96"/>
    <mergeCell ref="C95:C96"/>
    <mergeCell ref="A97:A98"/>
    <mergeCell ref="B97:B98"/>
    <mergeCell ref="C97:C98"/>
    <mergeCell ref="A101:A102"/>
    <mergeCell ref="B101:B102"/>
    <mergeCell ref="C101:C102"/>
    <mergeCell ref="A103:A104"/>
    <mergeCell ref="B103:B104"/>
    <mergeCell ref="C103:C104"/>
    <mergeCell ref="A107:A108"/>
    <mergeCell ref="B107:B108"/>
    <mergeCell ref="C107:C108"/>
    <mergeCell ref="A109:A110"/>
    <mergeCell ref="B109:B110"/>
    <mergeCell ref="C109:C110"/>
    <mergeCell ref="A113:A114"/>
    <mergeCell ref="B113:B114"/>
    <mergeCell ref="C113:C114"/>
    <mergeCell ref="A115:A116"/>
    <mergeCell ref="B115:B116"/>
    <mergeCell ref="C115:C116"/>
    <mergeCell ref="A127:A128"/>
    <mergeCell ref="B127:B128"/>
    <mergeCell ref="C127:C128"/>
    <mergeCell ref="A131:A132"/>
    <mergeCell ref="B131:B132"/>
    <mergeCell ref="C131:C132"/>
    <mergeCell ref="A133:A134"/>
    <mergeCell ref="B133:B134"/>
    <mergeCell ref="C133:C134"/>
    <mergeCell ref="A137:A138"/>
    <mergeCell ref="B137:B138"/>
    <mergeCell ref="C137:C138"/>
    <mergeCell ref="A139:A140"/>
    <mergeCell ref="B139:B140"/>
    <mergeCell ref="C139:C140"/>
    <mergeCell ref="A143:A144"/>
    <mergeCell ref="B143:B144"/>
    <mergeCell ref="C143:C144"/>
    <mergeCell ref="A145:A146"/>
    <mergeCell ref="B145:B146"/>
    <mergeCell ref="C145:C146"/>
    <mergeCell ref="A149:A150"/>
    <mergeCell ref="B149:B150"/>
    <mergeCell ref="C149:C150"/>
    <mergeCell ref="A151:A152"/>
    <mergeCell ref="B151:B152"/>
    <mergeCell ref="C151:C152"/>
    <mergeCell ref="A155:A156"/>
    <mergeCell ref="B155:B156"/>
    <mergeCell ref="C155:C156"/>
    <mergeCell ref="A157:A158"/>
    <mergeCell ref="B157:B158"/>
    <mergeCell ref="C157:C158"/>
    <mergeCell ref="A161:A162"/>
    <mergeCell ref="B161:B162"/>
    <mergeCell ref="C161:C162"/>
    <mergeCell ref="A163:A164"/>
    <mergeCell ref="B163:B164"/>
    <mergeCell ref="C163:C164"/>
    <mergeCell ref="A167:A168"/>
    <mergeCell ref="B167:B168"/>
    <mergeCell ref="C167:C168"/>
    <mergeCell ref="A169:A170"/>
    <mergeCell ref="B169:B170"/>
    <mergeCell ref="C169:C170"/>
    <mergeCell ref="A173:A174"/>
    <mergeCell ref="B173:B174"/>
    <mergeCell ref="C173:C174"/>
    <mergeCell ref="A175:A176"/>
    <mergeCell ref="B175:B176"/>
    <mergeCell ref="C175:C176"/>
    <mergeCell ref="A179:A180"/>
    <mergeCell ref="B179:B180"/>
    <mergeCell ref="C179:C180"/>
    <mergeCell ref="A181:A182"/>
    <mergeCell ref="B181:B182"/>
    <mergeCell ref="C181:C182"/>
    <mergeCell ref="A185:A186"/>
    <mergeCell ref="B185:B186"/>
    <mergeCell ref="C185:C186"/>
    <mergeCell ref="A187:A188"/>
    <mergeCell ref="B187:B188"/>
    <mergeCell ref="C187:C188"/>
    <mergeCell ref="A191:A192"/>
    <mergeCell ref="B191:B192"/>
    <mergeCell ref="C191:C192"/>
    <mergeCell ref="A193:A194"/>
    <mergeCell ref="B193:B194"/>
    <mergeCell ref="C193:C194"/>
    <mergeCell ref="H8:H11"/>
    <mergeCell ref="F20:G23"/>
    <mergeCell ref="H20:H23"/>
    <mergeCell ref="H14:I17"/>
    <mergeCell ref="F18:F19"/>
    <mergeCell ref="F24:F25"/>
    <mergeCell ref="F30:F31"/>
    <mergeCell ref="D78:E79"/>
    <mergeCell ref="D72:E73"/>
    <mergeCell ref="D96:E97"/>
    <mergeCell ref="F96:F97"/>
    <mergeCell ref="D102:E103"/>
    <mergeCell ref="F102:F103"/>
    <mergeCell ref="F72:F73"/>
    <mergeCell ref="F78:F79"/>
    <mergeCell ref="F80:G83"/>
    <mergeCell ref="F92:G95"/>
    <mergeCell ref="D126:E127"/>
    <mergeCell ref="F188:G191"/>
    <mergeCell ref="D192:E193"/>
    <mergeCell ref="F192:F193"/>
    <mergeCell ref="L26:L29"/>
    <mergeCell ref="L74:L77"/>
    <mergeCell ref="L122:L125"/>
    <mergeCell ref="L170:L173"/>
    <mergeCell ref="L146:M149"/>
    <mergeCell ref="J182:J185"/>
    <mergeCell ref="H182:I185"/>
    <mergeCell ref="H176:H179"/>
    <mergeCell ref="J170:K173"/>
    <mergeCell ref="H164:H167"/>
    <mergeCell ref="J158:J161"/>
    <mergeCell ref="H158:I161"/>
    <mergeCell ref="D168:E169"/>
    <mergeCell ref="F168:F169"/>
    <mergeCell ref="D174:E175"/>
    <mergeCell ref="F174:F175"/>
    <mergeCell ref="D186:E187"/>
    <mergeCell ref="F186:F187"/>
    <mergeCell ref="F176:G179"/>
    <mergeCell ref="D180:E181"/>
    <mergeCell ref="F180:F181"/>
    <mergeCell ref="J122:K125"/>
    <mergeCell ref="J110:J113"/>
    <mergeCell ref="L192:M193"/>
    <mergeCell ref="L186:M187"/>
    <mergeCell ref="N186:N187"/>
    <mergeCell ref="N192:N193"/>
    <mergeCell ref="N188:O191"/>
    <mergeCell ref="P188:P191"/>
    <mergeCell ref="L182:M185"/>
    <mergeCell ref="J134:J137"/>
    <mergeCell ref="O14:P17"/>
    <mergeCell ref="M14:N17"/>
    <mergeCell ref="M12:N13"/>
    <mergeCell ref="O6:P7"/>
    <mergeCell ref="N50:N53"/>
    <mergeCell ref="L50:M53"/>
    <mergeCell ref="P98:P101"/>
    <mergeCell ref="N98:O101"/>
    <mergeCell ref="N146:N149"/>
  </mergeCells>
  <phoneticPr fontId="3"/>
  <conditionalFormatting sqref="P98">
    <cfRule type="cellIs" dxfId="58" priority="72" stopIfTrue="1" operator="equal">
      <formula>""</formula>
    </cfRule>
  </conditionalFormatting>
  <conditionalFormatting sqref="B195">
    <cfRule type="cellIs" dxfId="57" priority="64" stopIfTrue="1" operator="equal">
      <formula>""</formula>
    </cfRule>
    <cfRule type="cellIs" dxfId="56" priority="65" stopIfTrue="1" operator="notEqual">
      <formula>""</formula>
    </cfRule>
  </conditionalFormatting>
  <conditionalFormatting sqref="D5 D8 F48:F49 F42:F43 F36:F37 F30:F31 F18:F19 F24:F25 F6:F7 F12:F13 H8:H11 H20 H32 H44 J38 J14 J17 H23 H35 J41 H47 D11">
    <cfRule type="cellIs" dxfId="55" priority="63" operator="equal">
      <formula>""</formula>
    </cfRule>
  </conditionalFormatting>
  <conditionalFormatting sqref="D194 F96:F97 F144:F145 F192:F193 F90:F91 F138:F139 F186:F187 F84:F85 F132:F133 F180:F181 F78:F79 F126:F127 F174:F175 F66:F67 F114:F115 F162:F163 F72:F73 F120:F121 F168:F169 F54:F55 F102:F103 F150:F151 F60:F61 F108:F109 F156:F157 H56 H104 H152 H68 H116 H164 H80 H128 H176 H92 H140 H188 H59 H71 H83 H95 H107 H119 H131 H143 H155 H167 H179 H191">
    <cfRule type="cellIs" dxfId="54" priority="62" operator="equal">
      <formula>""</formula>
    </cfRule>
  </conditionalFormatting>
  <conditionalFormatting sqref="J182 J158 L170 N186:N187 N192:N193 N146 L122 J134 J110 J86 J62 L74 N50 L26 L29 N53 J65 L77 J89 J113 L125 J137 N149 J161 L173 J185">
    <cfRule type="cellIs" dxfId="53" priority="61" operator="equal">
      <formula>""</formula>
    </cfRule>
  </conditionalFormatting>
  <conditionalFormatting sqref="H15:H16">
    <cfRule type="cellIs" dxfId="52" priority="60" operator="equal">
      <formula>""</formula>
    </cfRule>
  </conditionalFormatting>
  <conditionalFormatting sqref="H21:H22">
    <cfRule type="cellIs" dxfId="51" priority="59" operator="equal">
      <formula>""</formula>
    </cfRule>
  </conditionalFormatting>
  <conditionalFormatting sqref="H33:H34">
    <cfRule type="cellIs" dxfId="50" priority="57" operator="equal">
      <formula>""</formula>
    </cfRule>
  </conditionalFormatting>
  <conditionalFormatting sqref="H39:H40">
    <cfRule type="cellIs" dxfId="49" priority="56" operator="equal">
      <formula>""</formula>
    </cfRule>
  </conditionalFormatting>
  <conditionalFormatting sqref="H45:H46">
    <cfRule type="cellIs" dxfId="48" priority="55" operator="equal">
      <formula>""</formula>
    </cfRule>
  </conditionalFormatting>
  <conditionalFormatting sqref="H57:H58">
    <cfRule type="cellIs" dxfId="47" priority="53" operator="equal">
      <formula>""</formula>
    </cfRule>
  </conditionalFormatting>
  <conditionalFormatting sqref="H63:H64">
    <cfRule type="cellIs" dxfId="46" priority="52" operator="equal">
      <formula>""</formula>
    </cfRule>
  </conditionalFormatting>
  <conditionalFormatting sqref="H69:H70">
    <cfRule type="cellIs" dxfId="45" priority="51" operator="equal">
      <formula>""</formula>
    </cfRule>
  </conditionalFormatting>
  <conditionalFormatting sqref="H81:H82">
    <cfRule type="cellIs" dxfId="44" priority="49" operator="equal">
      <formula>""</formula>
    </cfRule>
  </conditionalFormatting>
  <conditionalFormatting sqref="H87:H88">
    <cfRule type="cellIs" dxfId="43" priority="48" operator="equal">
      <formula>""</formula>
    </cfRule>
  </conditionalFormatting>
  <conditionalFormatting sqref="H93:H94">
    <cfRule type="cellIs" dxfId="42" priority="47" operator="equal">
      <formula>""</formula>
    </cfRule>
  </conditionalFormatting>
  <conditionalFormatting sqref="H105:H106">
    <cfRule type="cellIs" dxfId="41" priority="45" operator="equal">
      <formula>""</formula>
    </cfRule>
  </conditionalFormatting>
  <conditionalFormatting sqref="H111:H112">
    <cfRule type="cellIs" dxfId="40" priority="44" operator="equal">
      <formula>""</formula>
    </cfRule>
  </conditionalFormatting>
  <conditionalFormatting sqref="H117:H118">
    <cfRule type="cellIs" dxfId="39" priority="43" operator="equal">
      <formula>""</formula>
    </cfRule>
  </conditionalFormatting>
  <conditionalFormatting sqref="H129:H130">
    <cfRule type="cellIs" dxfId="38" priority="41" operator="equal">
      <formula>""</formula>
    </cfRule>
  </conditionalFormatting>
  <conditionalFormatting sqref="H135:H136">
    <cfRule type="cellIs" dxfId="37" priority="40" operator="equal">
      <formula>""</formula>
    </cfRule>
  </conditionalFormatting>
  <conditionalFormatting sqref="H141:H142">
    <cfRule type="cellIs" dxfId="36" priority="39" operator="equal">
      <formula>""</formula>
    </cfRule>
  </conditionalFormatting>
  <conditionalFormatting sqref="H153:H154">
    <cfRule type="cellIs" dxfId="35" priority="37" operator="equal">
      <formula>""</formula>
    </cfRule>
  </conditionalFormatting>
  <conditionalFormatting sqref="H159:H160">
    <cfRule type="cellIs" dxfId="34" priority="36" operator="equal">
      <formula>""</formula>
    </cfRule>
  </conditionalFormatting>
  <conditionalFormatting sqref="H165:H166">
    <cfRule type="cellIs" dxfId="33" priority="35" operator="equal">
      <formula>""</formula>
    </cfRule>
  </conditionalFormatting>
  <conditionalFormatting sqref="H177:H178">
    <cfRule type="cellIs" dxfId="32" priority="33" operator="equal">
      <formula>""</formula>
    </cfRule>
  </conditionalFormatting>
  <conditionalFormatting sqref="H183:H184">
    <cfRule type="cellIs" dxfId="31" priority="32" operator="equal">
      <formula>""</formula>
    </cfRule>
  </conditionalFormatting>
  <conditionalFormatting sqref="H189:H190">
    <cfRule type="cellIs" dxfId="30" priority="31" operator="equal">
      <formula>""</formula>
    </cfRule>
  </conditionalFormatting>
  <conditionalFormatting sqref="D14 D17">
    <cfRule type="cellIs" dxfId="29" priority="30" operator="equal">
      <formula>""</formula>
    </cfRule>
  </conditionalFormatting>
  <conditionalFormatting sqref="D20 D23">
    <cfRule type="cellIs" dxfId="28" priority="29" operator="equal">
      <formula>""</formula>
    </cfRule>
  </conditionalFormatting>
  <conditionalFormatting sqref="D26 D29">
    <cfRule type="cellIs" dxfId="27" priority="28" operator="equal">
      <formula>""</formula>
    </cfRule>
  </conditionalFormatting>
  <conditionalFormatting sqref="D32 D35">
    <cfRule type="cellIs" dxfId="26" priority="27" operator="equal">
      <formula>""</formula>
    </cfRule>
  </conditionalFormatting>
  <conditionalFormatting sqref="D38 D41">
    <cfRule type="cellIs" dxfId="25" priority="26" operator="equal">
      <formula>""</formula>
    </cfRule>
  </conditionalFormatting>
  <conditionalFormatting sqref="D44 D47">
    <cfRule type="cellIs" dxfId="24" priority="25" operator="equal">
      <formula>""</formula>
    </cfRule>
  </conditionalFormatting>
  <conditionalFormatting sqref="D50 D53">
    <cfRule type="cellIs" dxfId="23" priority="24" operator="equal">
      <formula>""</formula>
    </cfRule>
  </conditionalFormatting>
  <conditionalFormatting sqref="D56 D59">
    <cfRule type="cellIs" dxfId="22" priority="23" operator="equal">
      <formula>""</formula>
    </cfRule>
  </conditionalFormatting>
  <conditionalFormatting sqref="D62 D65">
    <cfRule type="cellIs" dxfId="21" priority="22" operator="equal">
      <formula>""</formula>
    </cfRule>
  </conditionalFormatting>
  <conditionalFormatting sqref="D68 D71">
    <cfRule type="cellIs" dxfId="20" priority="21" operator="equal">
      <formula>""</formula>
    </cfRule>
  </conditionalFormatting>
  <conditionalFormatting sqref="D74 D77">
    <cfRule type="cellIs" dxfId="19" priority="20" operator="equal">
      <formula>""</formula>
    </cfRule>
  </conditionalFormatting>
  <conditionalFormatting sqref="D80 D83">
    <cfRule type="cellIs" dxfId="18" priority="19" operator="equal">
      <formula>""</formula>
    </cfRule>
  </conditionalFormatting>
  <conditionalFormatting sqref="D86 D89">
    <cfRule type="cellIs" dxfId="17" priority="18" operator="equal">
      <formula>""</formula>
    </cfRule>
  </conditionalFormatting>
  <conditionalFormatting sqref="D92 D95">
    <cfRule type="cellIs" dxfId="16" priority="17" operator="equal">
      <formula>""</formula>
    </cfRule>
  </conditionalFormatting>
  <conditionalFormatting sqref="D98 D101">
    <cfRule type="cellIs" dxfId="15" priority="16" operator="equal">
      <formula>""</formula>
    </cfRule>
  </conditionalFormatting>
  <conditionalFormatting sqref="D104 D107">
    <cfRule type="cellIs" dxfId="14" priority="15" operator="equal">
      <formula>""</formula>
    </cfRule>
  </conditionalFormatting>
  <conditionalFormatting sqref="D110 D113">
    <cfRule type="cellIs" dxfId="13" priority="14" operator="equal">
      <formula>""</formula>
    </cfRule>
  </conditionalFormatting>
  <conditionalFormatting sqref="D116 D119">
    <cfRule type="cellIs" dxfId="12" priority="13" operator="equal">
      <formula>""</formula>
    </cfRule>
  </conditionalFormatting>
  <conditionalFormatting sqref="D122 D125">
    <cfRule type="cellIs" dxfId="11" priority="12" operator="equal">
      <formula>""</formula>
    </cfRule>
  </conditionalFormatting>
  <conditionalFormatting sqref="D128 D131">
    <cfRule type="cellIs" dxfId="10" priority="11" operator="equal">
      <formula>""</formula>
    </cfRule>
  </conditionalFormatting>
  <conditionalFormatting sqref="D134 D137">
    <cfRule type="cellIs" dxfId="9" priority="10" operator="equal">
      <formula>""</formula>
    </cfRule>
  </conditionalFormatting>
  <conditionalFormatting sqref="D140 D143">
    <cfRule type="cellIs" dxfId="8" priority="9" operator="equal">
      <formula>""</formula>
    </cfRule>
  </conditionalFormatting>
  <conditionalFormatting sqref="D146 D149">
    <cfRule type="cellIs" dxfId="7" priority="8" operator="equal">
      <formula>""</formula>
    </cfRule>
  </conditionalFormatting>
  <conditionalFormatting sqref="D152 D155">
    <cfRule type="cellIs" dxfId="6" priority="7" operator="equal">
      <formula>""</formula>
    </cfRule>
  </conditionalFormatting>
  <conditionalFormatting sqref="D158 D161">
    <cfRule type="cellIs" dxfId="5" priority="6" operator="equal">
      <formula>""</formula>
    </cfRule>
  </conditionalFormatting>
  <conditionalFormatting sqref="D164 D167">
    <cfRule type="cellIs" dxfId="4" priority="5" operator="equal">
      <formula>""</formula>
    </cfRule>
  </conditionalFormatting>
  <conditionalFormatting sqref="D170 D173">
    <cfRule type="cellIs" dxfId="3" priority="4" operator="equal">
      <formula>""</formula>
    </cfRule>
  </conditionalFormatting>
  <conditionalFormatting sqref="D176 D179">
    <cfRule type="cellIs" dxfId="2" priority="3" operator="equal">
      <formula>""</formula>
    </cfRule>
  </conditionalFormatting>
  <conditionalFormatting sqref="D182 D185">
    <cfRule type="cellIs" dxfId="1" priority="2" operator="equal">
      <formula>""</formula>
    </cfRule>
  </conditionalFormatting>
  <conditionalFormatting sqref="D188 D191">
    <cfRule type="cellIs" dxfId="0" priority="1" operator="equal">
      <formula>""</formula>
    </cfRule>
  </conditionalFormatting>
  <dataValidations count="1">
    <dataValidation imeMode="off" allowBlank="1" showInputMessage="1" showErrorMessage="1" sqref="F174 F126 F90 D89:E89 D65:E65 H156 H132 H108 F192 G191 F114 F168 G167 F108 G107 F144 G143 G179 F180 F162 F156 G155 G131 F132 F102 F120 G119 E173 H48:K58 I35:I36 D20:D22 F42 G95 F96 G71:G72 F72 M55 E155 F60 D32:D34 G12:G13 H5:I5 F54 H60 H180 D38:D40 F150 F186 D5:E5 J14:K16 F6 F12 J5:K10 F18 H20 J31:J32 K30:K32 F24 F38 I42:K43 F36 G54:G55 D41:E41 J79:J80 K65:K67 D80:D82 E101 K89:K90 D77:E77 G102:G103 D83:E83 D99:D101 D125:E125 E131 E149 D8:D10 D11:E11 G25:H25 H8:I10 H114:J114 D17:E17 H15:I16 D23:E23 H27:K28 G31 D35:E35 F48:G48 H43:H44 G59 I66:J67 H67:H68 J71:K73 H77:H78 H80 F84:G84 I77:I80 I61:J61 H90:J90 G90:G91 E95 J21:K25 I108:K109 E113 G114:G115 D119:E119 G126:G127 K119:K121 J119:J120 H111:K112 I132:J133 E137 E143 G150:G151 J158 I156:J157 G162:G163 E167 G174:G175 I180:J181 D185:E185 K185:K186 E179 K167:K169 J167:J168 G186:G187 E191 F30 K37:K38 H21:I22 E161 G43 H39:K40 I47:K47 H45:K46 F66 G67 F78 H87:K88 D97 H99:K106 E107 K137:K138 H125:I128 H135:K136 H147:K154 H159:K160 H173:I176 D183:D184 E193:E195 D194:D195 N152 H33:K34 H37:J37 H93:K94 H85:J85 H81:K82 H69:K70 D57:D58 D63:D64 H186:J186 H177:K178 H165:K166 H141:K142 F138:J138 H129:K130 D117:D118 K113:K114 D14:D16 I18:K20 I23:I26 D26:E26 D29:E29 D27:D28 H29:I32 J38 D44:E44 D47:E47 D45:D46 D51:D52 D50:E50 D53:E53 D56:E56 D59:E59 K61:K62 D62:E62 J62 H63:K64 D68:E68 D71:E71 D69:D70 H72:H74 D74:E74 I71:I74 D75:D76 H75:K76 K78:K80 K85:K86 D86:E86 J86 D87:D88 D92:D95 E91:E92 H92 I95:K98 E97:E98 H96:H98 D104:D107 E103:E104 D110:D113 E109:E110 J110 D115:E116 H116 H117:K118 I119:I122 D121:E122 H120:H122 H123:K124 D123:D124 D128:D131 E127:E128 J126:K128 K132:K134 D134:D137 E133:E134 J134 D140:D143 E139:E140 H140 I143:K146 D146:D149 E145:E146 H144:H146 D152:D155 E151:E152 E157:E158 D158:D161 K156:K158 K161 D164:D167 E163:E164 H164 I167:I170 D170:D173 E169:E170 H168:H170 H171:K172 D176:D179 E175:E176 J174:K176 K180:K182 D181:E182 J182 H183:K184 D188:D191 E187:E188 H188 H189:K190"/>
  </dataValidations>
  <printOptions horizontalCentered="1" verticalCentered="1"/>
  <pageMargins left="0.39370078740157483" right="0.39370078740157483" top="0.31496062992125984" bottom="0.31496062992125984" header="0.51181102362204722" footer="0.51181102362204722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4"/>
  <sheetViews>
    <sheetView zoomScale="85" workbookViewId="0">
      <selection activeCell="Z15" sqref="Z15"/>
    </sheetView>
  </sheetViews>
  <sheetFormatPr defaultColWidth="4" defaultRowHeight="20.25" customHeight="1" outlineLevelCol="1"/>
  <cols>
    <col min="1" max="1" width="4.5703125" style="16" customWidth="1"/>
    <col min="2" max="2" width="15.85546875" style="16" customWidth="1"/>
    <col min="3" max="3" width="16.42578125" style="16" bestFit="1" customWidth="1"/>
    <col min="4" max="4" width="3.85546875" style="24" bestFit="1" customWidth="1"/>
    <col min="5" max="16" width="4" style="24" customWidth="1"/>
    <col min="17" max="22" width="4" style="24" hidden="1" customWidth="1" outlineLevel="1"/>
    <col min="23" max="23" width="4" style="24" customWidth="1" collapsed="1"/>
    <col min="24" max="26" width="4" style="24" customWidth="1"/>
    <col min="27" max="27" width="5.28515625" style="24" hidden="1" customWidth="1" outlineLevel="1"/>
    <col min="28" max="28" width="21" style="24" hidden="1" customWidth="1" outlineLevel="1"/>
    <col min="29" max="29" width="4" style="24" collapsed="1"/>
    <col min="30" max="16384" width="4" style="24"/>
  </cols>
  <sheetData>
    <row r="1" spans="1:28" ht="20.25" customHeight="1">
      <c r="A1" s="367" t="str">
        <f>名簿!$A$2</f>
        <v>中学男子</v>
      </c>
      <c r="B1" s="367"/>
      <c r="C1" s="367"/>
      <c r="D1" s="366" t="s">
        <v>40</v>
      </c>
      <c r="E1" s="366"/>
      <c r="F1" s="366"/>
      <c r="G1" s="366"/>
      <c r="H1" s="366"/>
      <c r="I1" s="366"/>
      <c r="J1" s="366"/>
      <c r="K1" s="366"/>
      <c r="L1" s="366" t="s">
        <v>44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</row>
    <row r="2" spans="1:28" s="16" customFormat="1" ht="13.5">
      <c r="A2" s="14" t="s">
        <v>42</v>
      </c>
      <c r="B2" s="14" t="s">
        <v>39</v>
      </c>
      <c r="C2" s="14" t="s">
        <v>38</v>
      </c>
      <c r="D2" s="17">
        <v>1</v>
      </c>
      <c r="E2" s="18">
        <v>2</v>
      </c>
      <c r="F2" s="18">
        <v>3</v>
      </c>
      <c r="G2" s="18">
        <v>4</v>
      </c>
      <c r="H2" s="18">
        <v>5</v>
      </c>
      <c r="I2" s="18">
        <v>6</v>
      </c>
      <c r="J2" s="18">
        <v>7</v>
      </c>
      <c r="K2" s="18">
        <v>8</v>
      </c>
      <c r="L2" s="18">
        <v>9</v>
      </c>
      <c r="M2" s="18">
        <v>10</v>
      </c>
      <c r="N2" s="18">
        <v>11</v>
      </c>
      <c r="O2" s="18">
        <v>12</v>
      </c>
      <c r="P2" s="18">
        <v>13</v>
      </c>
      <c r="Q2" s="18">
        <v>14</v>
      </c>
      <c r="R2" s="18">
        <v>15</v>
      </c>
      <c r="S2" s="18">
        <v>16</v>
      </c>
      <c r="T2" s="18">
        <v>17</v>
      </c>
      <c r="U2" s="18">
        <v>18</v>
      </c>
      <c r="V2" s="19">
        <v>19</v>
      </c>
      <c r="W2" s="14" t="s">
        <v>41</v>
      </c>
    </row>
    <row r="3" spans="1:28" ht="20.25" customHeight="1">
      <c r="A3" s="14">
        <f>AA3</f>
        <v>1</v>
      </c>
      <c r="B3" s="15" t="str">
        <f>AB3</f>
        <v>はしまモア</v>
      </c>
      <c r="C3" s="14" t="str">
        <f>ﾄｰﾅﾒﾝﾄ!C5</f>
        <v>福田　亮介</v>
      </c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3"/>
      <c r="AA3" s="33">
        <f>VLOOKUP(C3,ｼｰﾄﾞ!$K$6:$M$69,2,0)</f>
        <v>1</v>
      </c>
      <c r="AB3" s="33" t="str">
        <f>VLOOKUP(C3,ｼｰﾄﾞ!$K$6:$M$69,3,0)</f>
        <v>はしまモア</v>
      </c>
    </row>
    <row r="4" spans="1:28" ht="20.25" customHeight="1">
      <c r="A4" s="14" t="str">
        <f>AA4</f>
        <v/>
      </c>
      <c r="B4" s="15" t="str">
        <f>AB4</f>
        <v/>
      </c>
      <c r="C4" s="14" t="str">
        <f>ﾄｰﾅﾒﾝﾄ!C7</f>
        <v/>
      </c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  <c r="W4" s="23"/>
      <c r="AA4" s="33" t="str">
        <f>VLOOKUP(C4,ｼｰﾄﾞ!$K$6:$M$69,2,0)</f>
        <v/>
      </c>
      <c r="AB4" s="33" t="str">
        <f>VLOOKUP(C4,ｼｰﾄﾞ!$K$6:$M$69,3,0)</f>
        <v/>
      </c>
    </row>
    <row r="5" spans="1:28" ht="15.75" customHeight="1">
      <c r="A5" s="27"/>
      <c r="B5" s="31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28"/>
    </row>
    <row r="6" spans="1:28" ht="15.75" customHeight="1">
      <c r="A6" s="29"/>
      <c r="B6" s="25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30"/>
    </row>
    <row r="7" spans="1:28" ht="20.25" customHeight="1">
      <c r="A7" s="367" t="str">
        <f>名簿!$A$2</f>
        <v>中学男子</v>
      </c>
      <c r="B7" s="367"/>
      <c r="C7" s="367"/>
      <c r="D7" s="366" t="str">
        <f>$D$1</f>
        <v>　　トーナメント対戦表</v>
      </c>
      <c r="E7" s="366"/>
      <c r="F7" s="366"/>
      <c r="G7" s="366"/>
      <c r="H7" s="366"/>
      <c r="I7" s="366"/>
      <c r="J7" s="366"/>
      <c r="K7" s="366"/>
      <c r="L7" s="366" t="str">
        <f>$L$1</f>
        <v>１回戦</v>
      </c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</row>
    <row r="8" spans="1:28" s="16" customFormat="1" ht="13.5">
      <c r="A8" s="14" t="s">
        <v>42</v>
      </c>
      <c r="B8" s="14" t="s">
        <v>39</v>
      </c>
      <c r="C8" s="14" t="s">
        <v>38</v>
      </c>
      <c r="D8" s="17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  <c r="Q8" s="18">
        <v>14</v>
      </c>
      <c r="R8" s="18">
        <v>15</v>
      </c>
      <c r="S8" s="18">
        <v>16</v>
      </c>
      <c r="T8" s="18">
        <v>17</v>
      </c>
      <c r="U8" s="18">
        <v>18</v>
      </c>
      <c r="V8" s="19">
        <v>19</v>
      </c>
      <c r="W8" s="14" t="s">
        <v>41</v>
      </c>
    </row>
    <row r="9" spans="1:28" ht="20.25" customHeight="1">
      <c r="A9" s="14">
        <f>AA9</f>
        <v>33</v>
      </c>
      <c r="B9" s="15" t="str">
        <f>AB9</f>
        <v>長野ジュニア</v>
      </c>
      <c r="C9" s="14" t="str">
        <f>ﾄｰﾅﾒﾝﾄ!C11</f>
        <v>登内　雄心</v>
      </c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3"/>
      <c r="AA9" s="33">
        <f>VLOOKUP(C9,ｼｰﾄﾞ!$K$6:$M$69,2,0)</f>
        <v>33</v>
      </c>
      <c r="AB9" s="33" t="str">
        <f>VLOOKUP(C9,ｼｰﾄﾞ!$K$6:$M$69,3,0)</f>
        <v>長野ジュニア</v>
      </c>
    </row>
    <row r="10" spans="1:28" ht="20.25" customHeight="1">
      <c r="A10" s="14">
        <f>AA10</f>
        <v>32</v>
      </c>
      <c r="B10" s="15" t="str">
        <f>AB10</f>
        <v>富山パレス</v>
      </c>
      <c r="C10" s="14" t="str">
        <f>ﾄｰﾅﾒﾝﾄ!C13</f>
        <v>土田　龍也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2"/>
      <c r="W10" s="23"/>
      <c r="AA10" s="33">
        <f>VLOOKUP(C10,ｼｰﾄﾞ!$K$6:$M$69,2,0)</f>
        <v>32</v>
      </c>
      <c r="AB10" s="33" t="str">
        <f>VLOOKUP(C10,ｼｰﾄﾞ!$K$6:$M$69,3,0)</f>
        <v>富山パレス</v>
      </c>
    </row>
    <row r="11" spans="1:28" ht="15.75" customHeight="1">
      <c r="A11" s="27"/>
      <c r="B11" s="31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28"/>
    </row>
    <row r="12" spans="1:28" ht="15.75" customHeight="1">
      <c r="A12" s="29"/>
      <c r="B12" s="25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30"/>
    </row>
    <row r="13" spans="1:28" ht="20.25" customHeight="1">
      <c r="A13" s="367" t="str">
        <f>名簿!$A$2</f>
        <v>中学男子</v>
      </c>
      <c r="B13" s="367"/>
      <c r="C13" s="367"/>
      <c r="D13" s="366" t="str">
        <f>$D$1</f>
        <v>　　トーナメント対戦表</v>
      </c>
      <c r="E13" s="366"/>
      <c r="F13" s="366"/>
      <c r="G13" s="366"/>
      <c r="H13" s="366"/>
      <c r="I13" s="366"/>
      <c r="J13" s="366"/>
      <c r="K13" s="366"/>
      <c r="L13" s="366" t="str">
        <f>$L$1</f>
        <v>１回戦</v>
      </c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</row>
    <row r="14" spans="1:28" s="16" customFormat="1" ht="13.5">
      <c r="A14" s="14" t="s">
        <v>42</v>
      </c>
      <c r="B14" s="14" t="s">
        <v>39</v>
      </c>
      <c r="C14" s="14" t="s">
        <v>38</v>
      </c>
      <c r="D14" s="17">
        <v>1</v>
      </c>
      <c r="E14" s="18">
        <v>2</v>
      </c>
      <c r="F14" s="18">
        <v>3</v>
      </c>
      <c r="G14" s="18">
        <v>4</v>
      </c>
      <c r="H14" s="18">
        <v>5</v>
      </c>
      <c r="I14" s="18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8">
        <v>12</v>
      </c>
      <c r="P14" s="18">
        <v>13</v>
      </c>
      <c r="Q14" s="18">
        <v>14</v>
      </c>
      <c r="R14" s="18">
        <v>15</v>
      </c>
      <c r="S14" s="18">
        <v>16</v>
      </c>
      <c r="T14" s="18">
        <v>17</v>
      </c>
      <c r="U14" s="18">
        <v>18</v>
      </c>
      <c r="V14" s="19">
        <v>19</v>
      </c>
      <c r="W14" s="14" t="s">
        <v>41</v>
      </c>
    </row>
    <row r="15" spans="1:28" ht="20.25" customHeight="1">
      <c r="A15" s="14">
        <f>AA15</f>
        <v>17</v>
      </c>
      <c r="B15" s="15" t="str">
        <f>AB15</f>
        <v>はしまモア</v>
      </c>
      <c r="C15" s="14" t="str">
        <f>ﾄｰﾅﾒﾝﾄ!C17</f>
        <v>石橋　廉大</v>
      </c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W15" s="23"/>
      <c r="AA15" s="33">
        <f>VLOOKUP(C15,ｼｰﾄﾞ!$K$6:$M$69,2,0)</f>
        <v>17</v>
      </c>
      <c r="AB15" s="33" t="str">
        <f>VLOOKUP(C15,ｼｰﾄﾞ!$K$6:$M$69,3,0)</f>
        <v>はしまモア</v>
      </c>
    </row>
    <row r="16" spans="1:28" ht="20.25" customHeight="1">
      <c r="A16" s="14">
        <f>AA16</f>
        <v>48</v>
      </c>
      <c r="B16" s="15" t="str">
        <f>AB16</f>
        <v>速星中学校</v>
      </c>
      <c r="C16" s="14" t="str">
        <f>ﾄｰﾅﾒﾝﾄ!C19</f>
        <v>廣野　惇奈</v>
      </c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3"/>
      <c r="AA16" s="33">
        <f>VLOOKUP(C16,ｼｰﾄﾞ!$K$6:$M$69,2,0)</f>
        <v>48</v>
      </c>
      <c r="AB16" s="33" t="str">
        <f>VLOOKUP(C16,ｼｰﾄﾞ!$K$6:$M$69,3,0)</f>
        <v>速星中学校</v>
      </c>
    </row>
    <row r="17" spans="1:28" ht="15.75" customHeight="1">
      <c r="A17" s="27"/>
      <c r="B17" s="31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28"/>
    </row>
    <row r="18" spans="1:28" ht="15.75" customHeight="1">
      <c r="A18" s="29"/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30"/>
    </row>
    <row r="19" spans="1:28" ht="20.25" customHeight="1">
      <c r="A19" s="367" t="str">
        <f>名簿!$A$2</f>
        <v>中学男子</v>
      </c>
      <c r="B19" s="367"/>
      <c r="C19" s="367"/>
      <c r="D19" s="366" t="str">
        <f>$D$1</f>
        <v>　　トーナメント対戦表</v>
      </c>
      <c r="E19" s="366"/>
      <c r="F19" s="366"/>
      <c r="G19" s="366"/>
      <c r="H19" s="366"/>
      <c r="I19" s="366"/>
      <c r="J19" s="366"/>
      <c r="K19" s="366"/>
      <c r="L19" s="366" t="str">
        <f>$L$1</f>
        <v>１回戦</v>
      </c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</row>
    <row r="20" spans="1:28" s="16" customFormat="1" ht="13.5">
      <c r="A20" s="14" t="s">
        <v>42</v>
      </c>
      <c r="B20" s="14" t="s">
        <v>39</v>
      </c>
      <c r="C20" s="14" t="s">
        <v>38</v>
      </c>
      <c r="D20" s="17">
        <v>1</v>
      </c>
      <c r="E20" s="18">
        <v>2</v>
      </c>
      <c r="F20" s="18">
        <v>3</v>
      </c>
      <c r="G20" s="18">
        <v>4</v>
      </c>
      <c r="H20" s="18">
        <v>5</v>
      </c>
      <c r="I20" s="18">
        <v>6</v>
      </c>
      <c r="J20" s="18">
        <v>7</v>
      </c>
      <c r="K20" s="18">
        <v>8</v>
      </c>
      <c r="L20" s="18">
        <v>9</v>
      </c>
      <c r="M20" s="18">
        <v>10</v>
      </c>
      <c r="N20" s="18">
        <v>11</v>
      </c>
      <c r="O20" s="18">
        <v>12</v>
      </c>
      <c r="P20" s="18">
        <v>13</v>
      </c>
      <c r="Q20" s="18">
        <v>14</v>
      </c>
      <c r="R20" s="18">
        <v>15</v>
      </c>
      <c r="S20" s="18">
        <v>16</v>
      </c>
      <c r="T20" s="18">
        <v>17</v>
      </c>
      <c r="U20" s="18">
        <v>18</v>
      </c>
      <c r="V20" s="19">
        <v>19</v>
      </c>
      <c r="W20" s="14" t="s">
        <v>41</v>
      </c>
    </row>
    <row r="21" spans="1:28" ht="20.25" customHeight="1">
      <c r="A21" s="14">
        <f>AA21</f>
        <v>49</v>
      </c>
      <c r="B21" s="15" t="str">
        <f>AB21</f>
        <v>武生二中</v>
      </c>
      <c r="C21" s="14" t="str">
        <f>ﾄｰﾅﾒﾝﾄ!C23</f>
        <v>山本　雄飛</v>
      </c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2"/>
      <c r="W21" s="23"/>
      <c r="AA21" s="33">
        <f>VLOOKUP(C21,ｼｰﾄﾞ!$K$6:$M$69,2,0)</f>
        <v>49</v>
      </c>
      <c r="AB21" s="33" t="str">
        <f>VLOOKUP(C21,ｼｰﾄﾞ!$K$6:$M$69,3,0)</f>
        <v>武生二中</v>
      </c>
    </row>
    <row r="22" spans="1:28" ht="20.25" customHeight="1">
      <c r="A22" s="14">
        <f>AA22</f>
        <v>16</v>
      </c>
      <c r="B22" s="15" t="str">
        <f>AB22</f>
        <v>愛工大付属</v>
      </c>
      <c r="C22" s="14" t="str">
        <f>ﾄｰﾅﾒﾝﾄ!C25</f>
        <v>伊藤　真吾</v>
      </c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2"/>
      <c r="W22" s="23"/>
      <c r="AA22" s="33">
        <f>VLOOKUP(C22,ｼｰﾄﾞ!$K$6:$M$69,2,0)</f>
        <v>16</v>
      </c>
      <c r="AB22" s="33" t="str">
        <f>VLOOKUP(C22,ｼｰﾄﾞ!$K$6:$M$69,3,0)</f>
        <v>愛工大付属</v>
      </c>
    </row>
    <row r="23" spans="1:28" ht="15.75" customHeight="1">
      <c r="A23" s="27"/>
      <c r="B23" s="31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28"/>
    </row>
    <row r="24" spans="1:28" ht="15.75" customHeight="1">
      <c r="A24" s="29"/>
      <c r="B24" s="25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30"/>
    </row>
    <row r="25" spans="1:28" ht="20.25" customHeight="1">
      <c r="A25" s="367" t="str">
        <f>名簿!$A$2</f>
        <v>中学男子</v>
      </c>
      <c r="B25" s="367"/>
      <c r="C25" s="367"/>
      <c r="D25" s="366" t="str">
        <f>$D$1</f>
        <v>　　トーナメント対戦表</v>
      </c>
      <c r="E25" s="366"/>
      <c r="F25" s="366"/>
      <c r="G25" s="366"/>
      <c r="H25" s="366"/>
      <c r="I25" s="366"/>
      <c r="J25" s="366"/>
      <c r="K25" s="366"/>
      <c r="L25" s="366" t="str">
        <f>$L$1</f>
        <v>１回戦</v>
      </c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</row>
    <row r="26" spans="1:28" s="16" customFormat="1" ht="13.5">
      <c r="A26" s="14" t="s">
        <v>42</v>
      </c>
      <c r="B26" s="14" t="s">
        <v>39</v>
      </c>
      <c r="C26" s="14" t="s">
        <v>38</v>
      </c>
      <c r="D26" s="17">
        <v>1</v>
      </c>
      <c r="E26" s="18">
        <v>2</v>
      </c>
      <c r="F26" s="18">
        <v>3</v>
      </c>
      <c r="G26" s="18">
        <v>4</v>
      </c>
      <c r="H26" s="18">
        <v>5</v>
      </c>
      <c r="I26" s="18">
        <v>6</v>
      </c>
      <c r="J26" s="18">
        <v>7</v>
      </c>
      <c r="K26" s="18">
        <v>8</v>
      </c>
      <c r="L26" s="18">
        <v>9</v>
      </c>
      <c r="M26" s="18">
        <v>10</v>
      </c>
      <c r="N26" s="18">
        <v>11</v>
      </c>
      <c r="O26" s="18">
        <v>12</v>
      </c>
      <c r="P26" s="18">
        <v>13</v>
      </c>
      <c r="Q26" s="18">
        <v>14</v>
      </c>
      <c r="R26" s="18">
        <v>15</v>
      </c>
      <c r="S26" s="18">
        <v>16</v>
      </c>
      <c r="T26" s="18">
        <v>17</v>
      </c>
      <c r="U26" s="18">
        <v>18</v>
      </c>
      <c r="V26" s="19">
        <v>19</v>
      </c>
      <c r="W26" s="14" t="s">
        <v>41</v>
      </c>
    </row>
    <row r="27" spans="1:28" ht="20.25" customHeight="1">
      <c r="A27" s="14">
        <f>AA27</f>
        <v>9</v>
      </c>
      <c r="B27" s="15" t="str">
        <f>AB27</f>
        <v>法政大第二中学</v>
      </c>
      <c r="C27" s="14" t="str">
        <f>ﾄｰﾅﾒﾝﾄ!C29</f>
        <v>安井　琥珀</v>
      </c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23"/>
      <c r="AA27" s="33">
        <f>VLOOKUP(C27,ｼｰﾄﾞ!$K$6:$M$69,2,0)</f>
        <v>9</v>
      </c>
      <c r="AB27" s="33" t="str">
        <f>VLOOKUP(C27,ｼｰﾄﾞ!$K$6:$M$69,3,0)</f>
        <v>法政大第二中学</v>
      </c>
    </row>
    <row r="28" spans="1:28" ht="20.25" customHeight="1">
      <c r="A28" s="14" t="str">
        <f>AA28</f>
        <v/>
      </c>
      <c r="B28" s="15" t="str">
        <f>AB28</f>
        <v/>
      </c>
      <c r="C28" s="14" t="str">
        <f>ﾄｰﾅﾒﾝﾄ!C31</f>
        <v/>
      </c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2"/>
      <c r="W28" s="23"/>
      <c r="AA28" s="33" t="str">
        <f>VLOOKUP(C28,ｼｰﾄﾞ!$K$6:$M$69,2,0)</f>
        <v/>
      </c>
      <c r="AB28" s="33" t="str">
        <f>VLOOKUP(C28,ｼｰﾄﾞ!$K$6:$M$69,3,0)</f>
        <v/>
      </c>
    </row>
    <row r="29" spans="1:28" ht="15.75" customHeight="1">
      <c r="A29" s="27"/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28"/>
    </row>
    <row r="30" spans="1:28" ht="15.75" customHeight="1">
      <c r="A30" s="29"/>
      <c r="B30" s="25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30"/>
    </row>
    <row r="31" spans="1:28" ht="20.25" customHeight="1">
      <c r="A31" s="367" t="str">
        <f>名簿!$A$2</f>
        <v>中学男子</v>
      </c>
      <c r="B31" s="367"/>
      <c r="C31" s="367"/>
      <c r="D31" s="366" t="str">
        <f>$D$1</f>
        <v>　　トーナメント対戦表</v>
      </c>
      <c r="E31" s="366"/>
      <c r="F31" s="366"/>
      <c r="G31" s="366"/>
      <c r="H31" s="366"/>
      <c r="I31" s="366"/>
      <c r="J31" s="366"/>
      <c r="K31" s="366"/>
      <c r="L31" s="366" t="str">
        <f>$L$1</f>
        <v>１回戦</v>
      </c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</row>
    <row r="32" spans="1:28" s="16" customFormat="1" ht="13.5">
      <c r="A32" s="14" t="s">
        <v>42</v>
      </c>
      <c r="B32" s="14" t="s">
        <v>39</v>
      </c>
      <c r="C32" s="14" t="s">
        <v>38</v>
      </c>
      <c r="D32" s="17">
        <v>1</v>
      </c>
      <c r="E32" s="18">
        <v>2</v>
      </c>
      <c r="F32" s="18">
        <v>3</v>
      </c>
      <c r="G32" s="18">
        <v>4</v>
      </c>
      <c r="H32" s="18">
        <v>5</v>
      </c>
      <c r="I32" s="18">
        <v>6</v>
      </c>
      <c r="J32" s="18">
        <v>7</v>
      </c>
      <c r="K32" s="18">
        <v>8</v>
      </c>
      <c r="L32" s="18">
        <v>9</v>
      </c>
      <c r="M32" s="18">
        <v>10</v>
      </c>
      <c r="N32" s="18">
        <v>11</v>
      </c>
      <c r="O32" s="18">
        <v>12</v>
      </c>
      <c r="P32" s="18">
        <v>13</v>
      </c>
      <c r="Q32" s="18">
        <v>14</v>
      </c>
      <c r="R32" s="18">
        <v>15</v>
      </c>
      <c r="S32" s="18">
        <v>16</v>
      </c>
      <c r="T32" s="18">
        <v>17</v>
      </c>
      <c r="U32" s="18">
        <v>18</v>
      </c>
      <c r="V32" s="19">
        <v>19</v>
      </c>
      <c r="W32" s="14" t="s">
        <v>41</v>
      </c>
    </row>
    <row r="33" spans="1:28" ht="20.25" customHeight="1">
      <c r="A33" s="14">
        <f>AA33</f>
        <v>41</v>
      </c>
      <c r="B33" s="15" t="str">
        <f>AB33</f>
        <v>速星中学校</v>
      </c>
      <c r="C33" s="14" t="str">
        <f>ﾄｰﾅﾒﾝﾄ!C35</f>
        <v>濱崎　隼十</v>
      </c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2"/>
      <c r="W33" s="23"/>
      <c r="AA33" s="33">
        <f>VLOOKUP(C33,ｼｰﾄﾞ!$K$6:$M$69,2,0)</f>
        <v>41</v>
      </c>
      <c r="AB33" s="33" t="str">
        <f>VLOOKUP(C33,ｼｰﾄﾞ!$K$6:$M$69,3,0)</f>
        <v>速星中学校</v>
      </c>
    </row>
    <row r="34" spans="1:28" ht="20.25" customHeight="1">
      <c r="A34" s="14">
        <f>AA34</f>
        <v>24</v>
      </c>
      <c r="B34" s="15" t="str">
        <f>AB34</f>
        <v>富山パレス</v>
      </c>
      <c r="C34" s="14" t="str">
        <f>ﾄｰﾅﾒﾝﾄ!C37</f>
        <v>高畠　龍斗</v>
      </c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3"/>
      <c r="AA34" s="33">
        <f>VLOOKUP(C34,ｼｰﾄﾞ!$K$6:$M$69,2,0)</f>
        <v>24</v>
      </c>
      <c r="AB34" s="33" t="str">
        <f>VLOOKUP(C34,ｼｰﾄﾞ!$K$6:$M$69,3,0)</f>
        <v>富山パレス</v>
      </c>
    </row>
    <row r="35" spans="1:28" ht="15.75" customHeight="1">
      <c r="A35" s="27"/>
      <c r="B35" s="3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28"/>
    </row>
    <row r="36" spans="1:28" ht="15.75" customHeight="1">
      <c r="A36" s="29"/>
      <c r="B36" s="25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30"/>
    </row>
    <row r="37" spans="1:28" ht="20.25" customHeight="1">
      <c r="A37" s="367" t="str">
        <f>名簿!$A$2</f>
        <v>中学男子</v>
      </c>
      <c r="B37" s="367"/>
      <c r="C37" s="367"/>
      <c r="D37" s="366" t="str">
        <f>$D$1</f>
        <v>　　トーナメント対戦表</v>
      </c>
      <c r="E37" s="366"/>
      <c r="F37" s="366"/>
      <c r="G37" s="366"/>
      <c r="H37" s="366"/>
      <c r="I37" s="366"/>
      <c r="J37" s="366"/>
      <c r="K37" s="366"/>
      <c r="L37" s="366" t="str">
        <f>$L$1</f>
        <v>１回戦</v>
      </c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</row>
    <row r="38" spans="1:28" s="16" customFormat="1" ht="13.5">
      <c r="A38" s="14" t="s">
        <v>42</v>
      </c>
      <c r="B38" s="14" t="s">
        <v>39</v>
      </c>
      <c r="C38" s="14" t="s">
        <v>38</v>
      </c>
      <c r="D38" s="17">
        <v>1</v>
      </c>
      <c r="E38" s="18">
        <v>2</v>
      </c>
      <c r="F38" s="18">
        <v>3</v>
      </c>
      <c r="G38" s="18">
        <v>4</v>
      </c>
      <c r="H38" s="18">
        <v>5</v>
      </c>
      <c r="I38" s="18">
        <v>6</v>
      </c>
      <c r="J38" s="18">
        <v>7</v>
      </c>
      <c r="K38" s="18">
        <v>8</v>
      </c>
      <c r="L38" s="18">
        <v>9</v>
      </c>
      <c r="M38" s="18">
        <v>10</v>
      </c>
      <c r="N38" s="18">
        <v>11</v>
      </c>
      <c r="O38" s="18">
        <v>12</v>
      </c>
      <c r="P38" s="18">
        <v>13</v>
      </c>
      <c r="Q38" s="18">
        <v>14</v>
      </c>
      <c r="R38" s="18">
        <v>15</v>
      </c>
      <c r="S38" s="18">
        <v>16</v>
      </c>
      <c r="T38" s="18">
        <v>17</v>
      </c>
      <c r="U38" s="18">
        <v>18</v>
      </c>
      <c r="V38" s="19">
        <v>19</v>
      </c>
      <c r="W38" s="14" t="s">
        <v>41</v>
      </c>
    </row>
    <row r="39" spans="1:28" ht="20.25" customHeight="1">
      <c r="A39" s="14">
        <f>AA39</f>
        <v>25</v>
      </c>
      <c r="B39" s="15" t="str">
        <f>AB39</f>
        <v>愛工大付属</v>
      </c>
      <c r="C39" s="14" t="str">
        <f>ﾄｰﾅﾒﾝﾄ!C41</f>
        <v>弓長　昇主</v>
      </c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3"/>
      <c r="AA39" s="33">
        <f>VLOOKUP(C39,ｼｰﾄﾞ!$K$6:$M$69,2,0)</f>
        <v>25</v>
      </c>
      <c r="AB39" s="33" t="str">
        <f>VLOOKUP(C39,ｼｰﾄﾞ!$K$6:$M$69,3,0)</f>
        <v>愛工大付属</v>
      </c>
    </row>
    <row r="40" spans="1:28" ht="20.25" customHeight="1">
      <c r="A40" s="14">
        <f>AA40</f>
        <v>40</v>
      </c>
      <c r="B40" s="15" t="str">
        <f>AB40</f>
        <v>速星中学校</v>
      </c>
      <c r="C40" s="14" t="str">
        <f>ﾄｰﾅﾒﾝﾄ!C43</f>
        <v>長畑　知大</v>
      </c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2"/>
      <c r="W40" s="23"/>
      <c r="AA40" s="33">
        <f>VLOOKUP(C40,ｼｰﾄﾞ!$K$6:$M$69,2,0)</f>
        <v>40</v>
      </c>
      <c r="AB40" s="33" t="str">
        <f>VLOOKUP(C40,ｼｰﾄﾞ!$K$6:$M$69,3,0)</f>
        <v>速星中学校</v>
      </c>
    </row>
    <row r="41" spans="1:28" ht="15.75" customHeight="1">
      <c r="A41" s="27"/>
      <c r="B41" s="31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28"/>
    </row>
    <row r="42" spans="1:28" ht="15.75" customHeight="1">
      <c r="A42" s="29"/>
      <c r="B42" s="25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30"/>
    </row>
    <row r="43" spans="1:28" ht="20.25" customHeight="1">
      <c r="A43" s="367" t="str">
        <f>名簿!$A$2</f>
        <v>中学男子</v>
      </c>
      <c r="B43" s="367"/>
      <c r="C43" s="367"/>
      <c r="D43" s="366" t="str">
        <f>$D$1</f>
        <v>　　トーナメント対戦表</v>
      </c>
      <c r="E43" s="366"/>
      <c r="F43" s="366"/>
      <c r="G43" s="366"/>
      <c r="H43" s="366"/>
      <c r="I43" s="366"/>
      <c r="J43" s="366"/>
      <c r="K43" s="366"/>
      <c r="L43" s="366" t="str">
        <f>$L$1</f>
        <v>１回戦</v>
      </c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</row>
    <row r="44" spans="1:28" s="16" customFormat="1" ht="13.5">
      <c r="A44" s="14" t="s">
        <v>42</v>
      </c>
      <c r="B44" s="14" t="s">
        <v>39</v>
      </c>
      <c r="C44" s="14" t="s">
        <v>38</v>
      </c>
      <c r="D44" s="17">
        <v>1</v>
      </c>
      <c r="E44" s="18">
        <v>2</v>
      </c>
      <c r="F44" s="18">
        <v>3</v>
      </c>
      <c r="G44" s="18">
        <v>4</v>
      </c>
      <c r="H44" s="18">
        <v>5</v>
      </c>
      <c r="I44" s="18">
        <v>6</v>
      </c>
      <c r="J44" s="18">
        <v>7</v>
      </c>
      <c r="K44" s="18">
        <v>8</v>
      </c>
      <c r="L44" s="18">
        <v>9</v>
      </c>
      <c r="M44" s="18">
        <v>10</v>
      </c>
      <c r="N44" s="18">
        <v>11</v>
      </c>
      <c r="O44" s="18">
        <v>12</v>
      </c>
      <c r="P44" s="18">
        <v>13</v>
      </c>
      <c r="Q44" s="18">
        <v>14</v>
      </c>
      <c r="R44" s="18">
        <v>15</v>
      </c>
      <c r="S44" s="18">
        <v>16</v>
      </c>
      <c r="T44" s="18">
        <v>17</v>
      </c>
      <c r="U44" s="18">
        <v>18</v>
      </c>
      <c r="V44" s="19">
        <v>19</v>
      </c>
      <c r="W44" s="14" t="s">
        <v>41</v>
      </c>
    </row>
    <row r="45" spans="1:28" ht="20.25" customHeight="1">
      <c r="A45" s="14" t="str">
        <f>AA45</f>
        <v/>
      </c>
      <c r="B45" s="15" t="str">
        <f>AB45</f>
        <v/>
      </c>
      <c r="C45" s="14" t="str">
        <f>ﾄｰﾅﾒﾝﾄ!C47</f>
        <v/>
      </c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2"/>
      <c r="W45" s="23"/>
      <c r="AA45" s="33" t="str">
        <f>VLOOKUP(C45,ｼｰﾄﾞ!$K$6:$M$69,2,0)</f>
        <v/>
      </c>
      <c r="AB45" s="33" t="str">
        <f>VLOOKUP(C45,ｼｰﾄﾞ!$K$6:$M$69,3,0)</f>
        <v/>
      </c>
    </row>
    <row r="46" spans="1:28" ht="20.25" customHeight="1">
      <c r="A46" s="14">
        <f>AA46</f>
        <v>8</v>
      </c>
      <c r="B46" s="15" t="str">
        <f>AB46</f>
        <v>速星中学校</v>
      </c>
      <c r="C46" s="14" t="str">
        <f>ﾄｰﾅﾒﾝﾄ!C49</f>
        <v>石川　凌</v>
      </c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2"/>
      <c r="W46" s="23"/>
      <c r="AA46" s="33">
        <f>VLOOKUP(C46,ｼｰﾄﾞ!$K$6:$M$69,2,0)</f>
        <v>8</v>
      </c>
      <c r="AB46" s="33" t="str">
        <f>VLOOKUP(C46,ｼｰﾄﾞ!$K$6:$M$69,3,0)</f>
        <v>速星中学校</v>
      </c>
    </row>
    <row r="47" spans="1:28" ht="20.25" customHeight="1">
      <c r="A47" s="367" t="str">
        <f>名簿!$A$2</f>
        <v>中学男子</v>
      </c>
      <c r="B47" s="367"/>
      <c r="C47" s="367"/>
      <c r="D47" s="366" t="str">
        <f>$D$1</f>
        <v>　　トーナメント対戦表</v>
      </c>
      <c r="E47" s="366"/>
      <c r="F47" s="366"/>
      <c r="G47" s="366"/>
      <c r="H47" s="366"/>
      <c r="I47" s="366"/>
      <c r="J47" s="366"/>
      <c r="K47" s="366"/>
      <c r="L47" s="366" t="str">
        <f>$L$1</f>
        <v>１回戦</v>
      </c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</row>
    <row r="48" spans="1:28" s="16" customFormat="1" ht="13.5">
      <c r="A48" s="14" t="s">
        <v>42</v>
      </c>
      <c r="B48" s="14" t="s">
        <v>39</v>
      </c>
      <c r="C48" s="14" t="s">
        <v>38</v>
      </c>
      <c r="D48" s="17">
        <v>1</v>
      </c>
      <c r="E48" s="18">
        <v>2</v>
      </c>
      <c r="F48" s="18">
        <v>3</v>
      </c>
      <c r="G48" s="18">
        <v>4</v>
      </c>
      <c r="H48" s="18">
        <v>5</v>
      </c>
      <c r="I48" s="18">
        <v>6</v>
      </c>
      <c r="J48" s="18">
        <v>7</v>
      </c>
      <c r="K48" s="18">
        <v>8</v>
      </c>
      <c r="L48" s="18">
        <v>9</v>
      </c>
      <c r="M48" s="18">
        <v>10</v>
      </c>
      <c r="N48" s="18">
        <v>11</v>
      </c>
      <c r="O48" s="18">
        <v>12</v>
      </c>
      <c r="P48" s="18">
        <v>13</v>
      </c>
      <c r="Q48" s="18">
        <v>14</v>
      </c>
      <c r="R48" s="18">
        <v>15</v>
      </c>
      <c r="S48" s="18">
        <v>16</v>
      </c>
      <c r="T48" s="18">
        <v>17</v>
      </c>
      <c r="U48" s="18">
        <v>18</v>
      </c>
      <c r="V48" s="19">
        <v>19</v>
      </c>
      <c r="W48" s="14" t="s">
        <v>41</v>
      </c>
    </row>
    <row r="49" spans="1:28" ht="20.25" customHeight="1">
      <c r="A49" s="14">
        <f>AA49</f>
        <v>5</v>
      </c>
      <c r="B49" s="15" t="str">
        <f>AB49</f>
        <v>大垣クラブ</v>
      </c>
      <c r="C49" s="14" t="str">
        <f>ﾄｰﾅﾒﾝﾄ!C53</f>
        <v>國枝　契太</v>
      </c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2"/>
      <c r="W49" s="23"/>
      <c r="AA49" s="33">
        <f>VLOOKUP(C49,ｼｰﾄﾞ!$K$6:$M$69,2,0)</f>
        <v>5</v>
      </c>
      <c r="AB49" s="33" t="str">
        <f>VLOOKUP(C49,ｼｰﾄﾞ!$K$6:$M$69,3,0)</f>
        <v>大垣クラブ</v>
      </c>
    </row>
    <row r="50" spans="1:28" ht="20.25" customHeight="1">
      <c r="A50" s="14" t="str">
        <f>AA50</f>
        <v/>
      </c>
      <c r="B50" s="15" t="str">
        <f>AB50</f>
        <v/>
      </c>
      <c r="C50" s="14" t="str">
        <f>ﾄｰﾅﾒﾝﾄ!C55</f>
        <v/>
      </c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2"/>
      <c r="W50" s="23"/>
      <c r="AA50" s="33" t="str">
        <f>VLOOKUP(C50,ｼｰﾄﾞ!$K$6:$M$69,2,0)</f>
        <v/>
      </c>
      <c r="AB50" s="33" t="str">
        <f>VLOOKUP(C50,ｼｰﾄﾞ!$K$6:$M$69,3,0)</f>
        <v/>
      </c>
    </row>
    <row r="51" spans="1:28" ht="15.75" customHeight="1">
      <c r="A51" s="27"/>
      <c r="B51" s="31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28"/>
    </row>
    <row r="52" spans="1:28" ht="15.75" customHeight="1">
      <c r="A52" s="29"/>
      <c r="B52" s="25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30"/>
    </row>
    <row r="53" spans="1:28" ht="20.25" customHeight="1">
      <c r="A53" s="367" t="str">
        <f>名簿!$A$2</f>
        <v>中学男子</v>
      </c>
      <c r="B53" s="367"/>
      <c r="C53" s="367"/>
      <c r="D53" s="366" t="str">
        <f>$D$1</f>
        <v>　　トーナメント対戦表</v>
      </c>
      <c r="E53" s="366"/>
      <c r="F53" s="366"/>
      <c r="G53" s="366"/>
      <c r="H53" s="366"/>
      <c r="I53" s="366"/>
      <c r="J53" s="366"/>
      <c r="K53" s="366"/>
      <c r="L53" s="366" t="str">
        <f>$L$1</f>
        <v>１回戦</v>
      </c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</row>
    <row r="54" spans="1:28" s="16" customFormat="1" ht="13.5">
      <c r="A54" s="14" t="s">
        <v>42</v>
      </c>
      <c r="B54" s="14" t="s">
        <v>39</v>
      </c>
      <c r="C54" s="14" t="s">
        <v>38</v>
      </c>
      <c r="D54" s="17">
        <v>1</v>
      </c>
      <c r="E54" s="18">
        <v>2</v>
      </c>
      <c r="F54" s="18">
        <v>3</v>
      </c>
      <c r="G54" s="18">
        <v>4</v>
      </c>
      <c r="H54" s="18">
        <v>5</v>
      </c>
      <c r="I54" s="18">
        <v>6</v>
      </c>
      <c r="J54" s="18">
        <v>7</v>
      </c>
      <c r="K54" s="18">
        <v>8</v>
      </c>
      <c r="L54" s="18">
        <v>9</v>
      </c>
      <c r="M54" s="18">
        <v>10</v>
      </c>
      <c r="N54" s="18">
        <v>11</v>
      </c>
      <c r="O54" s="18">
        <v>12</v>
      </c>
      <c r="P54" s="18">
        <v>13</v>
      </c>
      <c r="Q54" s="18">
        <v>14</v>
      </c>
      <c r="R54" s="18">
        <v>15</v>
      </c>
      <c r="S54" s="18">
        <v>16</v>
      </c>
      <c r="T54" s="18">
        <v>17</v>
      </c>
      <c r="U54" s="18">
        <v>18</v>
      </c>
      <c r="V54" s="19">
        <v>19</v>
      </c>
      <c r="W54" s="14" t="s">
        <v>41</v>
      </c>
    </row>
    <row r="55" spans="1:28" ht="20.25" customHeight="1">
      <c r="A55" s="14">
        <f>AA55</f>
        <v>37</v>
      </c>
      <c r="B55" s="15" t="str">
        <f>AB55</f>
        <v>速星中学校</v>
      </c>
      <c r="C55" s="14" t="str">
        <f>ﾄｰﾅﾒﾝﾄ!C59</f>
        <v>山崎　竜聖</v>
      </c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2"/>
      <c r="W55" s="23"/>
      <c r="AA55" s="33">
        <f>VLOOKUP(C55,ｼｰﾄﾞ!$K$6:$M$69,2,0)</f>
        <v>37</v>
      </c>
      <c r="AB55" s="33" t="str">
        <f>VLOOKUP(C55,ｼｰﾄﾞ!$K$6:$M$69,3,0)</f>
        <v>速星中学校</v>
      </c>
    </row>
    <row r="56" spans="1:28" ht="20.25" customHeight="1">
      <c r="A56" s="14">
        <f>AA56</f>
        <v>28</v>
      </c>
      <c r="B56" s="15" t="str">
        <f>AB56</f>
        <v>富山パレス</v>
      </c>
      <c r="C56" s="14" t="str">
        <f>ﾄｰﾅﾒﾝﾄ!C61</f>
        <v>藤野　正真</v>
      </c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2"/>
      <c r="W56" s="23"/>
      <c r="AA56" s="33">
        <f>VLOOKUP(C56,ｼｰﾄﾞ!$K$6:$M$69,2,0)</f>
        <v>28</v>
      </c>
      <c r="AB56" s="33" t="str">
        <f>VLOOKUP(C56,ｼｰﾄﾞ!$K$6:$M$69,3,0)</f>
        <v>富山パレス</v>
      </c>
    </row>
    <row r="57" spans="1:28" ht="15.75" customHeight="1">
      <c r="A57" s="27"/>
      <c r="B57" s="31"/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28"/>
    </row>
    <row r="58" spans="1:28" ht="15.75" customHeight="1">
      <c r="A58" s="29"/>
      <c r="B58" s="25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30"/>
    </row>
    <row r="59" spans="1:28" ht="20.25" customHeight="1">
      <c r="A59" s="367" t="str">
        <f>名簿!$A$2</f>
        <v>中学男子</v>
      </c>
      <c r="B59" s="367"/>
      <c r="C59" s="367"/>
      <c r="D59" s="366" t="str">
        <f>$D$1</f>
        <v>　　トーナメント対戦表</v>
      </c>
      <c r="E59" s="366"/>
      <c r="F59" s="366"/>
      <c r="G59" s="366"/>
      <c r="H59" s="366"/>
      <c r="I59" s="366"/>
      <c r="J59" s="366"/>
      <c r="K59" s="366"/>
      <c r="L59" s="366" t="str">
        <f>$L$1</f>
        <v>１回戦</v>
      </c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</row>
    <row r="60" spans="1:28" s="16" customFormat="1" ht="13.5">
      <c r="A60" s="14" t="s">
        <v>42</v>
      </c>
      <c r="B60" s="14" t="s">
        <v>39</v>
      </c>
      <c r="C60" s="14" t="s">
        <v>38</v>
      </c>
      <c r="D60" s="17">
        <v>1</v>
      </c>
      <c r="E60" s="18">
        <v>2</v>
      </c>
      <c r="F60" s="18">
        <v>3</v>
      </c>
      <c r="G60" s="18">
        <v>4</v>
      </c>
      <c r="H60" s="18">
        <v>5</v>
      </c>
      <c r="I60" s="18">
        <v>6</v>
      </c>
      <c r="J60" s="18">
        <v>7</v>
      </c>
      <c r="K60" s="18">
        <v>8</v>
      </c>
      <c r="L60" s="18">
        <v>9</v>
      </c>
      <c r="M60" s="18">
        <v>10</v>
      </c>
      <c r="N60" s="18">
        <v>11</v>
      </c>
      <c r="O60" s="18">
        <v>12</v>
      </c>
      <c r="P60" s="18">
        <v>13</v>
      </c>
      <c r="Q60" s="18">
        <v>14</v>
      </c>
      <c r="R60" s="18">
        <v>15</v>
      </c>
      <c r="S60" s="18">
        <v>16</v>
      </c>
      <c r="T60" s="18">
        <v>17</v>
      </c>
      <c r="U60" s="18">
        <v>18</v>
      </c>
      <c r="V60" s="19">
        <v>19</v>
      </c>
      <c r="W60" s="14" t="s">
        <v>41</v>
      </c>
    </row>
    <row r="61" spans="1:28" ht="20.25" customHeight="1">
      <c r="A61" s="14">
        <f>AA61</f>
        <v>21</v>
      </c>
      <c r="B61" s="15" t="str">
        <f>AB61</f>
        <v>滋賀ＪＦＣ</v>
      </c>
      <c r="C61" s="14" t="str">
        <f>ﾄｰﾅﾒﾝﾄ!C65</f>
        <v>保知　純乃介</v>
      </c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2"/>
      <c r="W61" s="23"/>
      <c r="AA61" s="33">
        <f>VLOOKUP(C61,ｼｰﾄﾞ!$K$6:$M$69,2,0)</f>
        <v>21</v>
      </c>
      <c r="AB61" s="33" t="str">
        <f>VLOOKUP(C61,ｼｰﾄﾞ!$K$6:$M$69,3,0)</f>
        <v>滋賀ＪＦＣ</v>
      </c>
    </row>
    <row r="62" spans="1:28" ht="20.25" customHeight="1">
      <c r="A62" s="14">
        <f>AA62</f>
        <v>44</v>
      </c>
      <c r="B62" s="15" t="str">
        <f>AB62</f>
        <v>養老ＦＣ</v>
      </c>
      <c r="C62" s="14" t="str">
        <f>ﾄｰﾅﾒﾝﾄ!C67</f>
        <v>北川　虎侑</v>
      </c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2"/>
      <c r="W62" s="23"/>
      <c r="AA62" s="33">
        <f>VLOOKUP(C62,ｼｰﾄﾞ!$K$6:$M$69,2,0)</f>
        <v>44</v>
      </c>
      <c r="AB62" s="33" t="str">
        <f>VLOOKUP(C62,ｼｰﾄﾞ!$K$6:$M$69,3,0)</f>
        <v>養老ＦＣ</v>
      </c>
    </row>
    <row r="63" spans="1:28" ht="15.75" customHeight="1">
      <c r="A63" s="27"/>
      <c r="B63" s="31"/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28"/>
    </row>
    <row r="64" spans="1:28" ht="15.75" customHeight="1">
      <c r="A64" s="29"/>
      <c r="B64" s="25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30"/>
    </row>
    <row r="65" spans="1:28" ht="20.25" customHeight="1">
      <c r="A65" s="367" t="str">
        <f>名簿!$A$2</f>
        <v>中学男子</v>
      </c>
      <c r="B65" s="367"/>
      <c r="C65" s="367"/>
      <c r="D65" s="366" t="str">
        <f>$D$1</f>
        <v>　　トーナメント対戦表</v>
      </c>
      <c r="E65" s="366"/>
      <c r="F65" s="366"/>
      <c r="G65" s="366"/>
      <c r="H65" s="366"/>
      <c r="I65" s="366"/>
      <c r="J65" s="366"/>
      <c r="K65" s="366"/>
      <c r="L65" s="366" t="str">
        <f>$L$1</f>
        <v>１回戦</v>
      </c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</row>
    <row r="66" spans="1:28" s="16" customFormat="1" ht="13.5">
      <c r="A66" s="14" t="s">
        <v>42</v>
      </c>
      <c r="B66" s="14" t="s">
        <v>39</v>
      </c>
      <c r="C66" s="14" t="s">
        <v>38</v>
      </c>
      <c r="D66" s="17">
        <v>1</v>
      </c>
      <c r="E66" s="18">
        <v>2</v>
      </c>
      <c r="F66" s="18">
        <v>3</v>
      </c>
      <c r="G66" s="18">
        <v>4</v>
      </c>
      <c r="H66" s="18">
        <v>5</v>
      </c>
      <c r="I66" s="18">
        <v>6</v>
      </c>
      <c r="J66" s="18">
        <v>7</v>
      </c>
      <c r="K66" s="18">
        <v>8</v>
      </c>
      <c r="L66" s="18">
        <v>9</v>
      </c>
      <c r="M66" s="18">
        <v>10</v>
      </c>
      <c r="N66" s="18">
        <v>11</v>
      </c>
      <c r="O66" s="18">
        <v>12</v>
      </c>
      <c r="P66" s="18">
        <v>13</v>
      </c>
      <c r="Q66" s="18">
        <v>14</v>
      </c>
      <c r="R66" s="18">
        <v>15</v>
      </c>
      <c r="S66" s="18">
        <v>16</v>
      </c>
      <c r="T66" s="18">
        <v>17</v>
      </c>
      <c r="U66" s="18">
        <v>18</v>
      </c>
      <c r="V66" s="19">
        <v>19</v>
      </c>
      <c r="W66" s="14" t="s">
        <v>41</v>
      </c>
    </row>
    <row r="67" spans="1:28" ht="20.25" customHeight="1">
      <c r="A67" s="14" t="str">
        <f>AA67</f>
        <v/>
      </c>
      <c r="B67" s="15" t="str">
        <f>AB67</f>
        <v/>
      </c>
      <c r="C67" s="14" t="str">
        <f>ﾄｰﾅﾒﾝﾄ!C71</f>
        <v/>
      </c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2"/>
      <c r="W67" s="23"/>
      <c r="AA67" s="33" t="str">
        <f>VLOOKUP(C67,ｼｰﾄﾞ!$K$6:$M$69,2,0)</f>
        <v/>
      </c>
      <c r="AB67" s="33" t="str">
        <f>VLOOKUP(C67,ｼｰﾄﾞ!$K$6:$M$69,3,0)</f>
        <v/>
      </c>
    </row>
    <row r="68" spans="1:28" ht="20.25" customHeight="1">
      <c r="A68" s="14">
        <f>AA68</f>
        <v>12</v>
      </c>
      <c r="B68" s="15" t="str">
        <f>AB68</f>
        <v>南箕輪わくわく</v>
      </c>
      <c r="C68" s="14" t="str">
        <f>ﾄｰﾅﾒﾝﾄ!C73</f>
        <v>保科　幸作</v>
      </c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2"/>
      <c r="W68" s="23"/>
      <c r="AA68" s="33">
        <f>VLOOKUP(C68,ｼｰﾄﾞ!$K$6:$M$69,2,0)</f>
        <v>12</v>
      </c>
      <c r="AB68" s="33" t="str">
        <f>VLOOKUP(C68,ｼｰﾄﾞ!$K$6:$M$69,3,0)</f>
        <v>南箕輪わくわく</v>
      </c>
    </row>
    <row r="69" spans="1:28" ht="15.75" customHeight="1">
      <c r="A69" s="27"/>
      <c r="B69" s="31"/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28"/>
    </row>
    <row r="70" spans="1:28" ht="15.75" customHeight="1">
      <c r="A70" s="29"/>
      <c r="B70" s="25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30"/>
    </row>
    <row r="71" spans="1:28" ht="20.25" customHeight="1">
      <c r="A71" s="367" t="str">
        <f>名簿!$A$2</f>
        <v>中学男子</v>
      </c>
      <c r="B71" s="367"/>
      <c r="C71" s="367"/>
      <c r="D71" s="366" t="str">
        <f>$D$1</f>
        <v>　　トーナメント対戦表</v>
      </c>
      <c r="E71" s="366"/>
      <c r="F71" s="366"/>
      <c r="G71" s="366"/>
      <c r="H71" s="366"/>
      <c r="I71" s="366"/>
      <c r="J71" s="366"/>
      <c r="K71" s="366"/>
      <c r="L71" s="366" t="str">
        <f>$L$1</f>
        <v>１回戦</v>
      </c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</row>
    <row r="72" spans="1:28" s="16" customFormat="1" ht="13.5">
      <c r="A72" s="14" t="s">
        <v>42</v>
      </c>
      <c r="B72" s="14" t="s">
        <v>39</v>
      </c>
      <c r="C72" s="14" t="s">
        <v>38</v>
      </c>
      <c r="D72" s="17">
        <v>1</v>
      </c>
      <c r="E72" s="18">
        <v>2</v>
      </c>
      <c r="F72" s="18">
        <v>3</v>
      </c>
      <c r="G72" s="18">
        <v>4</v>
      </c>
      <c r="H72" s="18">
        <v>5</v>
      </c>
      <c r="I72" s="18">
        <v>6</v>
      </c>
      <c r="J72" s="18">
        <v>7</v>
      </c>
      <c r="K72" s="18">
        <v>8</v>
      </c>
      <c r="L72" s="18">
        <v>9</v>
      </c>
      <c r="M72" s="18">
        <v>10</v>
      </c>
      <c r="N72" s="18">
        <v>11</v>
      </c>
      <c r="O72" s="18">
        <v>12</v>
      </c>
      <c r="P72" s="18">
        <v>13</v>
      </c>
      <c r="Q72" s="18">
        <v>14</v>
      </c>
      <c r="R72" s="18">
        <v>15</v>
      </c>
      <c r="S72" s="18">
        <v>16</v>
      </c>
      <c r="T72" s="18">
        <v>17</v>
      </c>
      <c r="U72" s="18">
        <v>18</v>
      </c>
      <c r="V72" s="19">
        <v>19</v>
      </c>
      <c r="W72" s="14" t="s">
        <v>41</v>
      </c>
    </row>
    <row r="73" spans="1:28" ht="20.25" customHeight="1">
      <c r="A73" s="14">
        <f>AA73</f>
        <v>13</v>
      </c>
      <c r="B73" s="15" t="str">
        <f>AB73</f>
        <v>はしまモア</v>
      </c>
      <c r="C73" s="14" t="str">
        <f>ﾄｰﾅﾒﾝﾄ!C77</f>
        <v>奥田　玲大</v>
      </c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2"/>
      <c r="W73" s="23"/>
      <c r="AA73" s="33">
        <f>VLOOKUP(C73,ｼｰﾄﾞ!$K$6:$M$69,2,0)</f>
        <v>13</v>
      </c>
      <c r="AB73" s="33" t="str">
        <f>VLOOKUP(C73,ｼｰﾄﾞ!$K$6:$M$69,3,0)</f>
        <v>はしまモア</v>
      </c>
    </row>
    <row r="74" spans="1:28" ht="20.25" customHeight="1">
      <c r="A74" s="14" t="str">
        <f>AA74</f>
        <v/>
      </c>
      <c r="B74" s="15" t="str">
        <f>AB74</f>
        <v/>
      </c>
      <c r="C74" s="14" t="str">
        <f>ﾄｰﾅﾒﾝﾄ!C79</f>
        <v/>
      </c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2"/>
      <c r="W74" s="23"/>
      <c r="AA74" s="33" t="str">
        <f>VLOOKUP(C74,ｼｰﾄﾞ!$K$6:$M$69,2,0)</f>
        <v/>
      </c>
      <c r="AB74" s="33" t="str">
        <f>VLOOKUP(C74,ｼｰﾄﾞ!$K$6:$M$69,3,0)</f>
        <v/>
      </c>
    </row>
    <row r="75" spans="1:28" ht="15.75" customHeight="1">
      <c r="A75" s="27"/>
      <c r="B75" s="31"/>
      <c r="C75" s="3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28"/>
    </row>
    <row r="76" spans="1:28" ht="15.75" customHeight="1">
      <c r="A76" s="29"/>
      <c r="B76" s="25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30"/>
    </row>
    <row r="77" spans="1:28" ht="20.25" customHeight="1">
      <c r="A77" s="367" t="str">
        <f>名簿!$A$2</f>
        <v>中学男子</v>
      </c>
      <c r="B77" s="367"/>
      <c r="C77" s="367"/>
      <c r="D77" s="366" t="str">
        <f>$D$1</f>
        <v>　　トーナメント対戦表</v>
      </c>
      <c r="E77" s="366"/>
      <c r="F77" s="366"/>
      <c r="G77" s="366"/>
      <c r="H77" s="366"/>
      <c r="I77" s="366"/>
      <c r="J77" s="366"/>
      <c r="K77" s="366"/>
      <c r="L77" s="366" t="str">
        <f>$L$1</f>
        <v>１回戦</v>
      </c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</row>
    <row r="78" spans="1:28" s="16" customFormat="1" ht="13.5">
      <c r="A78" s="14" t="s">
        <v>42</v>
      </c>
      <c r="B78" s="14" t="s">
        <v>39</v>
      </c>
      <c r="C78" s="14" t="s">
        <v>38</v>
      </c>
      <c r="D78" s="17">
        <v>1</v>
      </c>
      <c r="E78" s="18">
        <v>2</v>
      </c>
      <c r="F78" s="18">
        <v>3</v>
      </c>
      <c r="G78" s="18">
        <v>4</v>
      </c>
      <c r="H78" s="18">
        <v>5</v>
      </c>
      <c r="I78" s="18">
        <v>6</v>
      </c>
      <c r="J78" s="18">
        <v>7</v>
      </c>
      <c r="K78" s="18">
        <v>8</v>
      </c>
      <c r="L78" s="18">
        <v>9</v>
      </c>
      <c r="M78" s="18">
        <v>10</v>
      </c>
      <c r="N78" s="18">
        <v>11</v>
      </c>
      <c r="O78" s="18">
        <v>12</v>
      </c>
      <c r="P78" s="18">
        <v>13</v>
      </c>
      <c r="Q78" s="18">
        <v>14</v>
      </c>
      <c r="R78" s="18">
        <v>15</v>
      </c>
      <c r="S78" s="18">
        <v>16</v>
      </c>
      <c r="T78" s="18">
        <v>17</v>
      </c>
      <c r="U78" s="18">
        <v>18</v>
      </c>
      <c r="V78" s="19">
        <v>19</v>
      </c>
      <c r="W78" s="14" t="s">
        <v>41</v>
      </c>
    </row>
    <row r="79" spans="1:28" ht="20.25" customHeight="1">
      <c r="A79" s="14">
        <f>AA79</f>
        <v>45</v>
      </c>
      <c r="B79" s="15" t="str">
        <f>AB79</f>
        <v>速星中学校</v>
      </c>
      <c r="C79" s="14" t="str">
        <f>ﾄｰﾅﾒﾝﾄ!C83</f>
        <v>細川　唯人</v>
      </c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2"/>
      <c r="W79" s="23"/>
      <c r="AA79" s="33">
        <f>VLOOKUP(C79,ｼｰﾄﾞ!$K$6:$M$69,2,0)</f>
        <v>45</v>
      </c>
      <c r="AB79" s="33" t="str">
        <f>VLOOKUP(C79,ｼｰﾄﾞ!$K$6:$M$69,3,0)</f>
        <v>速星中学校</v>
      </c>
    </row>
    <row r="80" spans="1:28" ht="20.25" customHeight="1">
      <c r="A80" s="14">
        <f>AA80</f>
        <v>20</v>
      </c>
      <c r="B80" s="15" t="str">
        <f>AB80</f>
        <v>アレ　フェンシング</v>
      </c>
      <c r="C80" s="14" t="str">
        <f>ﾄｰﾅﾒﾝﾄ!C85</f>
        <v>古市　直大</v>
      </c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2"/>
      <c r="W80" s="23"/>
      <c r="AA80" s="33">
        <f>VLOOKUP(C80,ｼｰﾄﾞ!$K$6:$M$69,2,0)</f>
        <v>20</v>
      </c>
      <c r="AB80" s="33" t="str">
        <f>VLOOKUP(C80,ｼｰﾄﾞ!$K$6:$M$69,3,0)</f>
        <v>アレ　フェンシング</v>
      </c>
    </row>
    <row r="81" spans="1:28" ht="15.75" customHeight="1">
      <c r="A81" s="27"/>
      <c r="B81" s="31"/>
      <c r="C81" s="3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28"/>
    </row>
    <row r="82" spans="1:28" ht="15.75" customHeight="1">
      <c r="A82" s="29"/>
      <c r="B82" s="2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30"/>
    </row>
    <row r="83" spans="1:28" ht="20.25" customHeight="1">
      <c r="A83" s="367" t="str">
        <f>名簿!$A$2</f>
        <v>中学男子</v>
      </c>
      <c r="B83" s="367"/>
      <c r="C83" s="367"/>
      <c r="D83" s="366" t="str">
        <f>$D$1</f>
        <v>　　トーナメント対戦表</v>
      </c>
      <c r="E83" s="366"/>
      <c r="F83" s="366"/>
      <c r="G83" s="366"/>
      <c r="H83" s="366"/>
      <c r="I83" s="366"/>
      <c r="J83" s="366"/>
      <c r="K83" s="366"/>
      <c r="L83" s="366" t="str">
        <f>$L$1</f>
        <v>１回戦</v>
      </c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</row>
    <row r="84" spans="1:28" s="16" customFormat="1" ht="13.5">
      <c r="A84" s="14" t="s">
        <v>42</v>
      </c>
      <c r="B84" s="14" t="s">
        <v>39</v>
      </c>
      <c r="C84" s="14" t="s">
        <v>38</v>
      </c>
      <c r="D84" s="17">
        <v>1</v>
      </c>
      <c r="E84" s="18">
        <v>2</v>
      </c>
      <c r="F84" s="18">
        <v>3</v>
      </c>
      <c r="G84" s="18">
        <v>4</v>
      </c>
      <c r="H84" s="18">
        <v>5</v>
      </c>
      <c r="I84" s="18">
        <v>6</v>
      </c>
      <c r="J84" s="18">
        <v>7</v>
      </c>
      <c r="K84" s="18">
        <v>8</v>
      </c>
      <c r="L84" s="18">
        <v>9</v>
      </c>
      <c r="M84" s="18">
        <v>10</v>
      </c>
      <c r="N84" s="18">
        <v>11</v>
      </c>
      <c r="O84" s="18">
        <v>12</v>
      </c>
      <c r="P84" s="18">
        <v>13</v>
      </c>
      <c r="Q84" s="18">
        <v>14</v>
      </c>
      <c r="R84" s="18">
        <v>15</v>
      </c>
      <c r="S84" s="18">
        <v>16</v>
      </c>
      <c r="T84" s="18">
        <v>17</v>
      </c>
      <c r="U84" s="18">
        <v>18</v>
      </c>
      <c r="V84" s="19">
        <v>19</v>
      </c>
      <c r="W84" s="14" t="s">
        <v>41</v>
      </c>
    </row>
    <row r="85" spans="1:28" ht="20.25" customHeight="1">
      <c r="A85" s="14">
        <f>AA85</f>
        <v>29</v>
      </c>
      <c r="B85" s="15" t="str">
        <f>AB85</f>
        <v>富山パレス</v>
      </c>
      <c r="C85" s="14" t="str">
        <f>ﾄｰﾅﾒﾝﾄ!C89</f>
        <v>篠田　真吾</v>
      </c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2"/>
      <c r="W85" s="23"/>
      <c r="AA85" s="33">
        <f>VLOOKUP(C85,ｼｰﾄﾞ!$K$6:$M$69,2,0)</f>
        <v>29</v>
      </c>
      <c r="AB85" s="33" t="str">
        <f>VLOOKUP(C85,ｼｰﾄﾞ!$K$6:$M$69,3,0)</f>
        <v>富山パレス</v>
      </c>
    </row>
    <row r="86" spans="1:28" ht="20.25" customHeight="1">
      <c r="A86" s="14">
        <f>AA86</f>
        <v>36</v>
      </c>
      <c r="B86" s="15" t="str">
        <f>AB86</f>
        <v>速星中学校</v>
      </c>
      <c r="C86" s="14" t="str">
        <f>ﾄｰﾅﾒﾝﾄ!C91</f>
        <v>飯田　龍基</v>
      </c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2"/>
      <c r="W86" s="23"/>
      <c r="AA86" s="33">
        <f>VLOOKUP(C86,ｼｰﾄﾞ!$K$6:$M$69,2,0)</f>
        <v>36</v>
      </c>
      <c r="AB86" s="33" t="str">
        <f>VLOOKUP(C86,ｼｰﾄﾞ!$K$6:$M$69,3,0)</f>
        <v>速星中学校</v>
      </c>
    </row>
    <row r="87" spans="1:28" ht="15.75" customHeight="1">
      <c r="A87" s="27"/>
      <c r="B87" s="31"/>
      <c r="C87" s="3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28"/>
    </row>
    <row r="88" spans="1:28" ht="15.75" customHeight="1">
      <c r="A88" s="29"/>
      <c r="B88" s="25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30"/>
    </row>
    <row r="89" spans="1:28" ht="20.25" customHeight="1">
      <c r="A89" s="367" t="str">
        <f>名簿!$A$2</f>
        <v>中学男子</v>
      </c>
      <c r="B89" s="367"/>
      <c r="C89" s="367"/>
      <c r="D89" s="366" t="str">
        <f>$D$1</f>
        <v>　　トーナメント対戦表</v>
      </c>
      <c r="E89" s="366"/>
      <c r="F89" s="366"/>
      <c r="G89" s="366"/>
      <c r="H89" s="366"/>
      <c r="I89" s="366"/>
      <c r="J89" s="366"/>
      <c r="K89" s="366"/>
      <c r="L89" s="366" t="str">
        <f>$L$1</f>
        <v>１回戦</v>
      </c>
      <c r="M89" s="366"/>
      <c r="N89" s="366"/>
      <c r="O89" s="366"/>
      <c r="P89" s="366"/>
      <c r="Q89" s="366"/>
      <c r="R89" s="366"/>
      <c r="S89" s="366"/>
      <c r="T89" s="366"/>
      <c r="U89" s="366"/>
      <c r="V89" s="366"/>
      <c r="W89" s="366"/>
    </row>
    <row r="90" spans="1:28" s="16" customFormat="1" ht="13.5">
      <c r="A90" s="14" t="s">
        <v>42</v>
      </c>
      <c r="B90" s="14" t="s">
        <v>39</v>
      </c>
      <c r="C90" s="14" t="s">
        <v>38</v>
      </c>
      <c r="D90" s="17">
        <v>1</v>
      </c>
      <c r="E90" s="18">
        <v>2</v>
      </c>
      <c r="F90" s="18">
        <v>3</v>
      </c>
      <c r="G90" s="18">
        <v>4</v>
      </c>
      <c r="H90" s="18">
        <v>5</v>
      </c>
      <c r="I90" s="18">
        <v>6</v>
      </c>
      <c r="J90" s="18">
        <v>7</v>
      </c>
      <c r="K90" s="18">
        <v>8</v>
      </c>
      <c r="L90" s="18">
        <v>9</v>
      </c>
      <c r="M90" s="18">
        <v>10</v>
      </c>
      <c r="N90" s="18">
        <v>11</v>
      </c>
      <c r="O90" s="18">
        <v>12</v>
      </c>
      <c r="P90" s="18">
        <v>13</v>
      </c>
      <c r="Q90" s="18">
        <v>14</v>
      </c>
      <c r="R90" s="18">
        <v>15</v>
      </c>
      <c r="S90" s="18">
        <v>16</v>
      </c>
      <c r="T90" s="18">
        <v>17</v>
      </c>
      <c r="U90" s="18">
        <v>18</v>
      </c>
      <c r="V90" s="19">
        <v>19</v>
      </c>
      <c r="W90" s="14" t="s">
        <v>41</v>
      </c>
    </row>
    <row r="91" spans="1:28" ht="20.25" customHeight="1">
      <c r="A91" s="14" t="str">
        <f>AA91</f>
        <v/>
      </c>
      <c r="B91" s="15" t="str">
        <f>AB91</f>
        <v/>
      </c>
      <c r="C91" s="14" t="str">
        <f>ﾄｰﾅﾒﾝﾄ!C95</f>
        <v/>
      </c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2"/>
      <c r="W91" s="23"/>
      <c r="AA91" s="33" t="str">
        <f>VLOOKUP(C91,ｼｰﾄﾞ!$K$6:$M$69,2,0)</f>
        <v/>
      </c>
      <c r="AB91" s="33" t="str">
        <f>VLOOKUP(C91,ｼｰﾄﾞ!$K$6:$M$69,3,0)</f>
        <v/>
      </c>
    </row>
    <row r="92" spans="1:28" ht="20.25" customHeight="1">
      <c r="A92" s="14">
        <f>AA92</f>
        <v>4</v>
      </c>
      <c r="B92" s="15" t="str">
        <f>AB92</f>
        <v>ワセダクラブ</v>
      </c>
      <c r="C92" s="14" t="str">
        <f>ﾄｰﾅﾒﾝﾄ!C97</f>
        <v>鈴木　統吾</v>
      </c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2"/>
      <c r="W92" s="23"/>
      <c r="AA92" s="33">
        <f>VLOOKUP(C92,ｼｰﾄﾞ!$K$6:$M$69,2,0)</f>
        <v>4</v>
      </c>
      <c r="AB92" s="33" t="str">
        <f>VLOOKUP(C92,ｼｰﾄﾞ!$K$6:$M$69,3,0)</f>
        <v>ワセダクラブ</v>
      </c>
    </row>
    <row r="93" spans="1:28" ht="20.25" customHeight="1">
      <c r="A93" s="367" t="str">
        <f>名簿!$A$2</f>
        <v>中学男子</v>
      </c>
      <c r="B93" s="367"/>
      <c r="C93" s="367"/>
      <c r="D93" s="366" t="str">
        <f>$D$1</f>
        <v>　　トーナメント対戦表</v>
      </c>
      <c r="E93" s="366"/>
      <c r="F93" s="366"/>
      <c r="G93" s="366"/>
      <c r="H93" s="366"/>
      <c r="I93" s="366"/>
      <c r="J93" s="366"/>
      <c r="K93" s="366"/>
      <c r="L93" s="366" t="str">
        <f>$L$1</f>
        <v>１回戦</v>
      </c>
      <c r="M93" s="366"/>
      <c r="N93" s="366"/>
      <c r="O93" s="366"/>
      <c r="P93" s="366"/>
      <c r="Q93" s="366"/>
      <c r="R93" s="366"/>
      <c r="S93" s="366"/>
      <c r="T93" s="366"/>
      <c r="U93" s="366"/>
      <c r="V93" s="366"/>
      <c r="W93" s="366"/>
    </row>
    <row r="94" spans="1:28" s="16" customFormat="1" ht="13.5">
      <c r="A94" s="14" t="s">
        <v>42</v>
      </c>
      <c r="B94" s="14" t="s">
        <v>39</v>
      </c>
      <c r="C94" s="14" t="s">
        <v>38</v>
      </c>
      <c r="D94" s="17">
        <v>1</v>
      </c>
      <c r="E94" s="18">
        <v>2</v>
      </c>
      <c r="F94" s="18">
        <v>3</v>
      </c>
      <c r="G94" s="18">
        <v>4</v>
      </c>
      <c r="H94" s="18">
        <v>5</v>
      </c>
      <c r="I94" s="18">
        <v>6</v>
      </c>
      <c r="J94" s="18">
        <v>7</v>
      </c>
      <c r="K94" s="18">
        <v>8</v>
      </c>
      <c r="L94" s="18">
        <v>9</v>
      </c>
      <c r="M94" s="18">
        <v>10</v>
      </c>
      <c r="N94" s="18">
        <v>11</v>
      </c>
      <c r="O94" s="18">
        <v>12</v>
      </c>
      <c r="P94" s="18">
        <v>13</v>
      </c>
      <c r="Q94" s="18">
        <v>14</v>
      </c>
      <c r="R94" s="18">
        <v>15</v>
      </c>
      <c r="S94" s="18">
        <v>16</v>
      </c>
      <c r="T94" s="18">
        <v>17</v>
      </c>
      <c r="U94" s="18">
        <v>18</v>
      </c>
      <c r="V94" s="19">
        <v>19</v>
      </c>
      <c r="W94" s="14" t="s">
        <v>41</v>
      </c>
    </row>
    <row r="95" spans="1:28" ht="20.25" customHeight="1">
      <c r="A95" s="14">
        <f>AA95</f>
        <v>3</v>
      </c>
      <c r="B95" s="15" t="str">
        <f>AB95</f>
        <v>はしまモア</v>
      </c>
      <c r="C95" s="14" t="str">
        <f>ﾄｰﾅﾒﾝﾄ!C101</f>
        <v>田内　稜大</v>
      </c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2"/>
      <c r="W95" s="23"/>
      <c r="AA95" s="33">
        <f>VLOOKUP(C95,ｼｰﾄﾞ!$K$6:$M$69,2,0)</f>
        <v>3</v>
      </c>
      <c r="AB95" s="33" t="str">
        <f>VLOOKUP(C95,ｼｰﾄﾞ!$K$6:$M$69,3,0)</f>
        <v>はしまモア</v>
      </c>
    </row>
    <row r="96" spans="1:28" ht="20.25" customHeight="1">
      <c r="A96" s="14" t="str">
        <f>AA96</f>
        <v/>
      </c>
      <c r="B96" s="15" t="str">
        <f>AB96</f>
        <v/>
      </c>
      <c r="C96" s="14" t="str">
        <f>ﾄｰﾅﾒﾝﾄ!C103</f>
        <v/>
      </c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2"/>
      <c r="W96" s="23"/>
      <c r="AA96" s="33" t="str">
        <f>VLOOKUP(C96,ｼｰﾄﾞ!$K$6:$M$69,2,0)</f>
        <v/>
      </c>
      <c r="AB96" s="33" t="str">
        <f>VLOOKUP(C96,ｼｰﾄﾞ!$K$6:$M$69,3,0)</f>
        <v/>
      </c>
    </row>
    <row r="97" spans="1:28" ht="16.5" customHeight="1">
      <c r="A97" s="27"/>
      <c r="B97" s="31"/>
      <c r="C97" s="3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28"/>
    </row>
    <row r="98" spans="1:28" ht="16.5" customHeight="1">
      <c r="A98" s="29"/>
      <c r="B98" s="25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30"/>
    </row>
    <row r="99" spans="1:28" ht="20.25" customHeight="1">
      <c r="A99" s="367" t="str">
        <f>名簿!$A$2</f>
        <v>中学男子</v>
      </c>
      <c r="B99" s="367"/>
      <c r="C99" s="367"/>
      <c r="D99" s="366" t="str">
        <f>$D$1</f>
        <v>　　トーナメント対戦表</v>
      </c>
      <c r="E99" s="366"/>
      <c r="F99" s="366"/>
      <c r="G99" s="366"/>
      <c r="H99" s="366"/>
      <c r="I99" s="366"/>
      <c r="J99" s="366"/>
      <c r="K99" s="366"/>
      <c r="L99" s="366" t="str">
        <f>$L$1</f>
        <v>１回戦</v>
      </c>
      <c r="M99" s="366"/>
      <c r="N99" s="366"/>
      <c r="O99" s="366"/>
      <c r="P99" s="366"/>
      <c r="Q99" s="366"/>
      <c r="R99" s="366"/>
      <c r="S99" s="366"/>
      <c r="T99" s="366"/>
      <c r="U99" s="366"/>
      <c r="V99" s="366"/>
      <c r="W99" s="366"/>
    </row>
    <row r="100" spans="1:28" s="16" customFormat="1" ht="13.5">
      <c r="A100" s="14" t="s">
        <v>42</v>
      </c>
      <c r="B100" s="14" t="s">
        <v>39</v>
      </c>
      <c r="C100" s="14" t="s">
        <v>38</v>
      </c>
      <c r="D100" s="17">
        <v>1</v>
      </c>
      <c r="E100" s="18">
        <v>2</v>
      </c>
      <c r="F100" s="18">
        <v>3</v>
      </c>
      <c r="G100" s="18">
        <v>4</v>
      </c>
      <c r="H100" s="18">
        <v>5</v>
      </c>
      <c r="I100" s="18">
        <v>6</v>
      </c>
      <c r="J100" s="18">
        <v>7</v>
      </c>
      <c r="K100" s="18">
        <v>8</v>
      </c>
      <c r="L100" s="18">
        <v>9</v>
      </c>
      <c r="M100" s="18">
        <v>10</v>
      </c>
      <c r="N100" s="18">
        <v>11</v>
      </c>
      <c r="O100" s="18">
        <v>12</v>
      </c>
      <c r="P100" s="18">
        <v>13</v>
      </c>
      <c r="Q100" s="18">
        <v>14</v>
      </c>
      <c r="R100" s="18">
        <v>15</v>
      </c>
      <c r="S100" s="18">
        <v>16</v>
      </c>
      <c r="T100" s="18">
        <v>17</v>
      </c>
      <c r="U100" s="18">
        <v>18</v>
      </c>
      <c r="V100" s="19">
        <v>19</v>
      </c>
      <c r="W100" s="14" t="s">
        <v>41</v>
      </c>
    </row>
    <row r="101" spans="1:28" ht="20.25" customHeight="1">
      <c r="A101" s="14">
        <f>AA101</f>
        <v>35</v>
      </c>
      <c r="B101" s="15" t="str">
        <f>AB101</f>
        <v>速星中学校</v>
      </c>
      <c r="C101" s="14" t="str">
        <f>ﾄｰﾅﾒﾝﾄ!C107</f>
        <v>山岸　凜生</v>
      </c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2"/>
      <c r="W101" s="23"/>
      <c r="AA101" s="33">
        <f>VLOOKUP(C101,ｼｰﾄﾞ!$K$6:$M$69,2,0)</f>
        <v>35</v>
      </c>
      <c r="AB101" s="33" t="str">
        <f>VLOOKUP(C101,ｼｰﾄﾞ!$K$6:$M$69,3,0)</f>
        <v>速星中学校</v>
      </c>
    </row>
    <row r="102" spans="1:28" ht="20.25" customHeight="1">
      <c r="A102" s="14">
        <f>AA102</f>
        <v>30</v>
      </c>
      <c r="B102" s="15" t="str">
        <f>AB102</f>
        <v>愛工大付属</v>
      </c>
      <c r="C102" s="14" t="str">
        <f>ﾄｰﾅﾒﾝﾄ!C109</f>
        <v>堀　智貴</v>
      </c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2"/>
      <c r="W102" s="23"/>
      <c r="AA102" s="33">
        <f>VLOOKUP(C102,ｼｰﾄﾞ!$K$6:$M$69,2,0)</f>
        <v>30</v>
      </c>
      <c r="AB102" s="33" t="str">
        <f>VLOOKUP(C102,ｼｰﾄﾞ!$K$6:$M$69,3,0)</f>
        <v>愛工大付属</v>
      </c>
    </row>
    <row r="103" spans="1:28" ht="16.5" customHeight="1">
      <c r="A103" s="27"/>
      <c r="B103" s="31"/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28"/>
    </row>
    <row r="104" spans="1:28" ht="16.5" customHeight="1">
      <c r="A104" s="29"/>
      <c r="B104" s="25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30"/>
    </row>
    <row r="105" spans="1:28" ht="20.25" customHeight="1">
      <c r="A105" s="367" t="str">
        <f>名簿!$A$2</f>
        <v>中学男子</v>
      </c>
      <c r="B105" s="367"/>
      <c r="C105" s="367"/>
      <c r="D105" s="366" t="str">
        <f>$D$1</f>
        <v>　　トーナメント対戦表</v>
      </c>
      <c r="E105" s="366"/>
      <c r="F105" s="366"/>
      <c r="G105" s="366"/>
      <c r="H105" s="366"/>
      <c r="I105" s="366"/>
      <c r="J105" s="366"/>
      <c r="K105" s="366"/>
      <c r="L105" s="366" t="str">
        <f>$L$1</f>
        <v>１回戦</v>
      </c>
      <c r="M105" s="366"/>
      <c r="N105" s="366"/>
      <c r="O105" s="366"/>
      <c r="P105" s="366"/>
      <c r="Q105" s="366"/>
      <c r="R105" s="366"/>
      <c r="S105" s="366"/>
      <c r="T105" s="366"/>
      <c r="U105" s="366"/>
      <c r="V105" s="366"/>
      <c r="W105" s="366"/>
    </row>
    <row r="106" spans="1:28" s="16" customFormat="1" ht="13.5">
      <c r="A106" s="14" t="s">
        <v>42</v>
      </c>
      <c r="B106" s="14" t="s">
        <v>39</v>
      </c>
      <c r="C106" s="14" t="s">
        <v>38</v>
      </c>
      <c r="D106" s="17">
        <v>1</v>
      </c>
      <c r="E106" s="18">
        <v>2</v>
      </c>
      <c r="F106" s="18">
        <v>3</v>
      </c>
      <c r="G106" s="18">
        <v>4</v>
      </c>
      <c r="H106" s="18">
        <v>5</v>
      </c>
      <c r="I106" s="18">
        <v>6</v>
      </c>
      <c r="J106" s="18">
        <v>7</v>
      </c>
      <c r="K106" s="18">
        <v>8</v>
      </c>
      <c r="L106" s="18">
        <v>9</v>
      </c>
      <c r="M106" s="18">
        <v>10</v>
      </c>
      <c r="N106" s="18">
        <v>11</v>
      </c>
      <c r="O106" s="18">
        <v>12</v>
      </c>
      <c r="P106" s="18">
        <v>13</v>
      </c>
      <c r="Q106" s="18">
        <v>14</v>
      </c>
      <c r="R106" s="18">
        <v>15</v>
      </c>
      <c r="S106" s="18">
        <v>16</v>
      </c>
      <c r="T106" s="18">
        <v>17</v>
      </c>
      <c r="U106" s="18">
        <v>18</v>
      </c>
      <c r="V106" s="19">
        <v>19</v>
      </c>
      <c r="W106" s="14" t="s">
        <v>41</v>
      </c>
    </row>
    <row r="107" spans="1:28" ht="20.25" customHeight="1">
      <c r="A107" s="14">
        <f>AA107</f>
        <v>19</v>
      </c>
      <c r="B107" s="15" t="str">
        <f>AB107</f>
        <v>横浜フェンサーズ</v>
      </c>
      <c r="C107" s="14" t="str">
        <f>ﾄｰﾅﾒﾝﾄ!C113</f>
        <v>柳原　健二郎</v>
      </c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2"/>
      <c r="W107" s="23"/>
      <c r="AA107" s="33">
        <f>VLOOKUP(C107,ｼｰﾄﾞ!$K$6:$M$69,2,0)</f>
        <v>19</v>
      </c>
      <c r="AB107" s="33" t="str">
        <f>VLOOKUP(C107,ｼｰﾄﾞ!$K$6:$M$69,3,0)</f>
        <v>横浜フェンサーズ</v>
      </c>
    </row>
    <row r="108" spans="1:28" ht="20.25" customHeight="1">
      <c r="A108" s="14">
        <f>AA108</f>
        <v>46</v>
      </c>
      <c r="B108" s="15" t="str">
        <f>AB108</f>
        <v>はしまモア</v>
      </c>
      <c r="C108" s="14" t="str">
        <f>ﾄｰﾅﾒﾝﾄ!C115</f>
        <v>今井　大河</v>
      </c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2"/>
      <c r="W108" s="23"/>
      <c r="AA108" s="33">
        <f>VLOOKUP(C108,ｼｰﾄﾞ!$K$6:$M$69,2,0)</f>
        <v>46</v>
      </c>
      <c r="AB108" s="33" t="str">
        <f>VLOOKUP(C108,ｼｰﾄﾞ!$K$6:$M$69,3,0)</f>
        <v>はしまモア</v>
      </c>
    </row>
    <row r="109" spans="1:28" ht="16.5" customHeight="1">
      <c r="A109" s="27"/>
      <c r="B109" s="31"/>
      <c r="C109" s="3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28"/>
    </row>
    <row r="110" spans="1:28" ht="16.5" customHeight="1">
      <c r="A110" s="29"/>
      <c r="B110" s="25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30"/>
    </row>
    <row r="111" spans="1:28" s="16" customFormat="1" ht="20.25" customHeight="1">
      <c r="A111" s="367" t="str">
        <f>名簿!$A$2</f>
        <v>中学男子</v>
      </c>
      <c r="B111" s="367"/>
      <c r="C111" s="367"/>
      <c r="D111" s="366" t="str">
        <f>$D$1</f>
        <v>　　トーナメント対戦表</v>
      </c>
      <c r="E111" s="366"/>
      <c r="F111" s="366"/>
      <c r="G111" s="366"/>
      <c r="H111" s="366"/>
      <c r="I111" s="366"/>
      <c r="J111" s="366"/>
      <c r="K111" s="366"/>
      <c r="L111" s="366" t="str">
        <f>$L$1</f>
        <v>１回戦</v>
      </c>
      <c r="M111" s="366"/>
      <c r="N111" s="366"/>
      <c r="O111" s="366"/>
      <c r="P111" s="366"/>
      <c r="Q111" s="366"/>
      <c r="R111" s="366"/>
      <c r="S111" s="366"/>
      <c r="T111" s="366"/>
      <c r="U111" s="366"/>
      <c r="V111" s="366"/>
      <c r="W111" s="366"/>
      <c r="AA111" s="24"/>
      <c r="AB111" s="24"/>
    </row>
    <row r="112" spans="1:28" s="16" customFormat="1" ht="13.5">
      <c r="A112" s="14" t="s">
        <v>42</v>
      </c>
      <c r="B112" s="14" t="s">
        <v>39</v>
      </c>
      <c r="C112" s="14" t="s">
        <v>38</v>
      </c>
      <c r="D112" s="17">
        <v>1</v>
      </c>
      <c r="E112" s="18">
        <v>2</v>
      </c>
      <c r="F112" s="18">
        <v>3</v>
      </c>
      <c r="G112" s="18">
        <v>4</v>
      </c>
      <c r="H112" s="18">
        <v>5</v>
      </c>
      <c r="I112" s="18">
        <v>6</v>
      </c>
      <c r="J112" s="18">
        <v>7</v>
      </c>
      <c r="K112" s="18">
        <v>8</v>
      </c>
      <c r="L112" s="18">
        <v>9</v>
      </c>
      <c r="M112" s="18">
        <v>10</v>
      </c>
      <c r="N112" s="18">
        <v>11</v>
      </c>
      <c r="O112" s="18">
        <v>12</v>
      </c>
      <c r="P112" s="18">
        <v>13</v>
      </c>
      <c r="Q112" s="18">
        <v>14</v>
      </c>
      <c r="R112" s="18">
        <v>15</v>
      </c>
      <c r="S112" s="18">
        <v>16</v>
      </c>
      <c r="T112" s="18">
        <v>17</v>
      </c>
      <c r="U112" s="18">
        <v>18</v>
      </c>
      <c r="V112" s="19">
        <v>19</v>
      </c>
      <c r="W112" s="14" t="s">
        <v>41</v>
      </c>
    </row>
    <row r="113" spans="1:28" ht="20.25" customHeight="1">
      <c r="A113" s="14" t="str">
        <f>AA113</f>
        <v/>
      </c>
      <c r="B113" s="15" t="str">
        <f>AB113</f>
        <v/>
      </c>
      <c r="C113" s="14" t="str">
        <f>ﾄｰﾅﾒﾝﾄ!C119</f>
        <v/>
      </c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2"/>
      <c r="W113" s="23"/>
      <c r="AA113" s="33" t="str">
        <f>VLOOKUP(C113,ｼｰﾄﾞ!$K$6:$M$69,2,0)</f>
        <v/>
      </c>
      <c r="AB113" s="33" t="str">
        <f>VLOOKUP(C113,ｼｰﾄﾞ!$K$6:$M$69,3,0)</f>
        <v/>
      </c>
    </row>
    <row r="114" spans="1:28" ht="20.25" customHeight="1">
      <c r="A114" s="14">
        <f>AA114</f>
        <v>14</v>
      </c>
      <c r="B114" s="15" t="str">
        <f>AB114</f>
        <v>長野ジュニア</v>
      </c>
      <c r="C114" s="14" t="str">
        <f>ﾄｰﾅﾒﾝﾄ!C121</f>
        <v>杉岡　瑞基</v>
      </c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2"/>
      <c r="W114" s="23"/>
      <c r="AA114" s="33">
        <f>VLOOKUP(C114,ｼｰﾄﾞ!$K$6:$M$69,2,0)</f>
        <v>14</v>
      </c>
      <c r="AB114" s="33" t="str">
        <f>VLOOKUP(C114,ｼｰﾄﾞ!$K$6:$M$69,3,0)</f>
        <v>長野ジュニア</v>
      </c>
    </row>
    <row r="115" spans="1:28" ht="16.5" customHeight="1">
      <c r="A115" s="27"/>
      <c r="B115" s="31"/>
      <c r="C115" s="3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28"/>
    </row>
    <row r="116" spans="1:28" ht="16.5" customHeight="1">
      <c r="A116" s="29"/>
      <c r="B116" s="25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30"/>
    </row>
    <row r="117" spans="1:28" s="16" customFormat="1" ht="20.25" customHeight="1">
      <c r="A117" s="367" t="str">
        <f>名簿!$A$2</f>
        <v>中学男子</v>
      </c>
      <c r="B117" s="367"/>
      <c r="C117" s="367"/>
      <c r="D117" s="366" t="str">
        <f>$D$1</f>
        <v>　　トーナメント対戦表</v>
      </c>
      <c r="E117" s="366"/>
      <c r="F117" s="366"/>
      <c r="G117" s="366"/>
      <c r="H117" s="366"/>
      <c r="I117" s="366"/>
      <c r="J117" s="366"/>
      <c r="K117" s="366"/>
      <c r="L117" s="366" t="str">
        <f>$L$1</f>
        <v>１回戦</v>
      </c>
      <c r="M117" s="366"/>
      <c r="N117" s="366"/>
      <c r="O117" s="366"/>
      <c r="P117" s="366"/>
      <c r="Q117" s="366"/>
      <c r="R117" s="366"/>
      <c r="S117" s="366"/>
      <c r="T117" s="366"/>
      <c r="U117" s="366"/>
      <c r="V117" s="366"/>
      <c r="W117" s="366"/>
    </row>
    <row r="118" spans="1:28" s="16" customFormat="1" ht="13.5">
      <c r="A118" s="14" t="s">
        <v>42</v>
      </c>
      <c r="B118" s="14" t="s">
        <v>39</v>
      </c>
      <c r="C118" s="14" t="s">
        <v>38</v>
      </c>
      <c r="D118" s="17">
        <v>1</v>
      </c>
      <c r="E118" s="18">
        <v>2</v>
      </c>
      <c r="F118" s="18">
        <v>3</v>
      </c>
      <c r="G118" s="18">
        <v>4</v>
      </c>
      <c r="H118" s="18">
        <v>5</v>
      </c>
      <c r="I118" s="18">
        <v>6</v>
      </c>
      <c r="J118" s="18">
        <v>7</v>
      </c>
      <c r="K118" s="18">
        <v>8</v>
      </c>
      <c r="L118" s="18">
        <v>9</v>
      </c>
      <c r="M118" s="18">
        <v>10</v>
      </c>
      <c r="N118" s="18">
        <v>11</v>
      </c>
      <c r="O118" s="18">
        <v>12</v>
      </c>
      <c r="P118" s="18">
        <v>13</v>
      </c>
      <c r="Q118" s="18">
        <v>14</v>
      </c>
      <c r="R118" s="18">
        <v>15</v>
      </c>
      <c r="S118" s="18">
        <v>16</v>
      </c>
      <c r="T118" s="18">
        <v>17</v>
      </c>
      <c r="U118" s="18">
        <v>18</v>
      </c>
      <c r="V118" s="19">
        <v>19</v>
      </c>
      <c r="W118" s="14" t="s">
        <v>41</v>
      </c>
    </row>
    <row r="119" spans="1:28" ht="20.25" customHeight="1">
      <c r="A119" s="14">
        <f>AA119</f>
        <v>11</v>
      </c>
      <c r="B119" s="15" t="str">
        <f>AB119</f>
        <v>杉並ジュニア</v>
      </c>
      <c r="C119" s="14" t="str">
        <f>ﾄｰﾅﾒﾝﾄ!C125</f>
        <v>山﨑　貴史</v>
      </c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2"/>
      <c r="W119" s="23"/>
      <c r="AA119" s="33">
        <f>VLOOKUP(C119,ｼｰﾄﾞ!$K$6:$M$69,2,0)</f>
        <v>11</v>
      </c>
      <c r="AB119" s="33" t="str">
        <f>VLOOKUP(C119,ｼｰﾄﾞ!$K$6:$M$69,3,0)</f>
        <v>杉並ジュニア</v>
      </c>
    </row>
    <row r="120" spans="1:28" ht="20.25" customHeight="1">
      <c r="A120" s="14" t="str">
        <f>AA120</f>
        <v/>
      </c>
      <c r="B120" s="15" t="str">
        <f>AB120</f>
        <v/>
      </c>
      <c r="C120" s="14" t="str">
        <f>ﾄｰﾅﾒﾝﾄ!C127</f>
        <v/>
      </c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2"/>
      <c r="W120" s="23"/>
      <c r="AA120" s="33" t="str">
        <f>VLOOKUP(C120,ｼｰﾄﾞ!$K$6:$M$69,2,0)</f>
        <v/>
      </c>
      <c r="AB120" s="33" t="str">
        <f>VLOOKUP(C120,ｼｰﾄﾞ!$K$6:$M$69,3,0)</f>
        <v/>
      </c>
    </row>
    <row r="121" spans="1:28" ht="16.5" customHeight="1">
      <c r="A121" s="27"/>
      <c r="B121" s="31"/>
      <c r="C121" s="31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28"/>
    </row>
    <row r="122" spans="1:28" ht="16.5" customHeight="1">
      <c r="A122" s="29"/>
      <c r="B122" s="25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30"/>
    </row>
    <row r="123" spans="1:28" ht="20.25" customHeight="1">
      <c r="A123" s="367" t="str">
        <f>名簿!$A$2</f>
        <v>中学男子</v>
      </c>
      <c r="B123" s="367"/>
      <c r="C123" s="367"/>
      <c r="D123" s="366" t="str">
        <f>$D$1</f>
        <v>　　トーナメント対戦表</v>
      </c>
      <c r="E123" s="366"/>
      <c r="F123" s="366"/>
      <c r="G123" s="366"/>
      <c r="H123" s="366"/>
      <c r="I123" s="366"/>
      <c r="J123" s="366"/>
      <c r="K123" s="366"/>
      <c r="L123" s="366" t="str">
        <f>$L$1</f>
        <v>１回戦</v>
      </c>
      <c r="M123" s="366"/>
      <c r="N123" s="366"/>
      <c r="O123" s="366"/>
      <c r="P123" s="366"/>
      <c r="Q123" s="366"/>
      <c r="R123" s="366"/>
      <c r="S123" s="366"/>
      <c r="T123" s="366"/>
      <c r="U123" s="366"/>
      <c r="V123" s="366"/>
      <c r="W123" s="366"/>
    </row>
    <row r="124" spans="1:28" s="16" customFormat="1" ht="13.5">
      <c r="A124" s="14" t="s">
        <v>42</v>
      </c>
      <c r="B124" s="14" t="s">
        <v>39</v>
      </c>
      <c r="C124" s="14" t="s">
        <v>38</v>
      </c>
      <c r="D124" s="17">
        <v>1</v>
      </c>
      <c r="E124" s="18">
        <v>2</v>
      </c>
      <c r="F124" s="18">
        <v>3</v>
      </c>
      <c r="G124" s="18">
        <v>4</v>
      </c>
      <c r="H124" s="18">
        <v>5</v>
      </c>
      <c r="I124" s="18">
        <v>6</v>
      </c>
      <c r="J124" s="18">
        <v>7</v>
      </c>
      <c r="K124" s="18">
        <v>8</v>
      </c>
      <c r="L124" s="18">
        <v>9</v>
      </c>
      <c r="M124" s="18">
        <v>10</v>
      </c>
      <c r="N124" s="18">
        <v>11</v>
      </c>
      <c r="O124" s="18">
        <v>12</v>
      </c>
      <c r="P124" s="18">
        <v>13</v>
      </c>
      <c r="Q124" s="18">
        <v>14</v>
      </c>
      <c r="R124" s="18">
        <v>15</v>
      </c>
      <c r="S124" s="18">
        <v>16</v>
      </c>
      <c r="T124" s="18">
        <v>17</v>
      </c>
      <c r="U124" s="18">
        <v>18</v>
      </c>
      <c r="V124" s="19">
        <v>19</v>
      </c>
      <c r="W124" s="14" t="s">
        <v>41</v>
      </c>
    </row>
    <row r="125" spans="1:28" ht="20.25" customHeight="1">
      <c r="A125" s="14">
        <f>AA125</f>
        <v>43</v>
      </c>
      <c r="B125" s="15" t="str">
        <f>AB125</f>
        <v>速星中学校</v>
      </c>
      <c r="C125" s="14" t="str">
        <f>ﾄｰﾅﾒﾝﾄ!C131</f>
        <v>小林　颯一</v>
      </c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2"/>
      <c r="W125" s="23"/>
      <c r="AA125" s="33">
        <f>VLOOKUP(C125,ｼｰﾄﾞ!$K$6:$M$69,2,0)</f>
        <v>43</v>
      </c>
      <c r="AB125" s="33" t="str">
        <f>VLOOKUP(C125,ｼｰﾄﾞ!$K$6:$M$69,3,0)</f>
        <v>速星中学校</v>
      </c>
    </row>
    <row r="126" spans="1:28" ht="20.25" customHeight="1">
      <c r="A126" s="14">
        <f>AA126</f>
        <v>22</v>
      </c>
      <c r="B126" s="15" t="str">
        <f>AB126</f>
        <v>箕輪中学校</v>
      </c>
      <c r="C126" s="14" t="str">
        <f>ﾄｰﾅﾒﾝﾄ!C133</f>
        <v>中村　健人</v>
      </c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2"/>
      <c r="W126" s="23"/>
      <c r="AA126" s="33">
        <f>VLOOKUP(C126,ｼｰﾄﾞ!$K$6:$M$69,2,0)</f>
        <v>22</v>
      </c>
      <c r="AB126" s="33" t="str">
        <f>VLOOKUP(C126,ｼｰﾄﾞ!$K$6:$M$69,3,0)</f>
        <v>箕輪中学校</v>
      </c>
    </row>
    <row r="127" spans="1:28" ht="16.5" customHeight="1">
      <c r="A127" s="27"/>
      <c r="B127" s="31"/>
      <c r="C127" s="3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28"/>
    </row>
    <row r="128" spans="1:28" ht="16.5" customHeight="1">
      <c r="A128" s="29"/>
      <c r="B128" s="25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30"/>
    </row>
    <row r="129" spans="1:28" ht="20.25" customHeight="1">
      <c r="A129" s="367" t="str">
        <f>名簿!$A$2</f>
        <v>中学男子</v>
      </c>
      <c r="B129" s="367"/>
      <c r="C129" s="367"/>
      <c r="D129" s="366" t="str">
        <f>$D$1</f>
        <v>　　トーナメント対戦表</v>
      </c>
      <c r="E129" s="366"/>
      <c r="F129" s="366"/>
      <c r="G129" s="366"/>
      <c r="H129" s="366"/>
      <c r="I129" s="366"/>
      <c r="J129" s="366"/>
      <c r="K129" s="366"/>
      <c r="L129" s="366" t="str">
        <f>$L$1</f>
        <v>１回戦</v>
      </c>
      <c r="M129" s="366"/>
      <c r="N129" s="366"/>
      <c r="O129" s="366"/>
      <c r="P129" s="366"/>
      <c r="Q129" s="366"/>
      <c r="R129" s="366"/>
      <c r="S129" s="366"/>
      <c r="T129" s="366"/>
      <c r="U129" s="366"/>
      <c r="V129" s="366"/>
      <c r="W129" s="366"/>
    </row>
    <row r="130" spans="1:28" s="16" customFormat="1" ht="13.5">
      <c r="A130" s="14" t="s">
        <v>42</v>
      </c>
      <c r="B130" s="14" t="s">
        <v>39</v>
      </c>
      <c r="C130" s="14" t="s">
        <v>38</v>
      </c>
      <c r="D130" s="17">
        <v>1</v>
      </c>
      <c r="E130" s="18">
        <v>2</v>
      </c>
      <c r="F130" s="18">
        <v>3</v>
      </c>
      <c r="G130" s="18">
        <v>4</v>
      </c>
      <c r="H130" s="18">
        <v>5</v>
      </c>
      <c r="I130" s="18">
        <v>6</v>
      </c>
      <c r="J130" s="18">
        <v>7</v>
      </c>
      <c r="K130" s="18">
        <v>8</v>
      </c>
      <c r="L130" s="18">
        <v>9</v>
      </c>
      <c r="M130" s="18">
        <v>10</v>
      </c>
      <c r="N130" s="18">
        <v>11</v>
      </c>
      <c r="O130" s="18">
        <v>12</v>
      </c>
      <c r="P130" s="18">
        <v>13</v>
      </c>
      <c r="Q130" s="18">
        <v>14</v>
      </c>
      <c r="R130" s="18">
        <v>15</v>
      </c>
      <c r="S130" s="18">
        <v>16</v>
      </c>
      <c r="T130" s="18">
        <v>17</v>
      </c>
      <c r="U130" s="18">
        <v>18</v>
      </c>
      <c r="V130" s="19">
        <v>19</v>
      </c>
      <c r="W130" s="14" t="s">
        <v>41</v>
      </c>
    </row>
    <row r="131" spans="1:28" ht="20.25" customHeight="1">
      <c r="A131" s="14">
        <f>AA131</f>
        <v>27</v>
      </c>
      <c r="B131" s="15" t="str">
        <f>AB131</f>
        <v>SEIBUスポーツ</v>
      </c>
      <c r="C131" s="14" t="str">
        <f>ﾄｰﾅﾒﾝﾄ!C137</f>
        <v>大原　士侑</v>
      </c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2"/>
      <c r="W131" s="23"/>
      <c r="AA131" s="33">
        <f>VLOOKUP(C131,ｼｰﾄﾞ!$K$6:$M$69,2,0)</f>
        <v>27</v>
      </c>
      <c r="AB131" s="33" t="str">
        <f>VLOOKUP(C131,ｼｰﾄﾞ!$K$6:$M$69,3,0)</f>
        <v>SEIBUスポーツ</v>
      </c>
    </row>
    <row r="132" spans="1:28" ht="20.25" customHeight="1">
      <c r="A132" s="14">
        <f>AA132</f>
        <v>38</v>
      </c>
      <c r="B132" s="15" t="str">
        <f>AB132</f>
        <v>愛工大付属</v>
      </c>
      <c r="C132" s="14" t="str">
        <f>ﾄｰﾅﾒﾝﾄ!C139</f>
        <v>山口　倫生</v>
      </c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2"/>
      <c r="W132" s="23"/>
      <c r="AA132" s="33">
        <f>VLOOKUP(C132,ｼｰﾄﾞ!$K$6:$M$69,2,0)</f>
        <v>38</v>
      </c>
      <c r="AB132" s="33" t="str">
        <f>VLOOKUP(C132,ｼｰﾄﾞ!$K$6:$M$69,3,0)</f>
        <v>愛工大付属</v>
      </c>
    </row>
    <row r="133" spans="1:28" ht="16.5" customHeight="1">
      <c r="A133" s="27"/>
      <c r="B133" s="31"/>
      <c r="C133" s="3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28"/>
    </row>
    <row r="134" spans="1:28" ht="16.5" customHeight="1">
      <c r="A134" s="29"/>
      <c r="B134" s="25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30"/>
    </row>
    <row r="135" spans="1:28" ht="20.25" customHeight="1">
      <c r="A135" s="367" t="str">
        <f>名簿!$A$2</f>
        <v>中学男子</v>
      </c>
      <c r="B135" s="367"/>
      <c r="C135" s="367"/>
      <c r="D135" s="366" t="str">
        <f>$D$1</f>
        <v>　　トーナメント対戦表</v>
      </c>
      <c r="E135" s="366"/>
      <c r="F135" s="366"/>
      <c r="G135" s="366"/>
      <c r="H135" s="366"/>
      <c r="I135" s="366"/>
      <c r="J135" s="366"/>
      <c r="K135" s="366"/>
      <c r="L135" s="366" t="str">
        <f>$L$1</f>
        <v>１回戦</v>
      </c>
      <c r="M135" s="366"/>
      <c r="N135" s="366"/>
      <c r="O135" s="366"/>
      <c r="P135" s="366"/>
      <c r="Q135" s="366"/>
      <c r="R135" s="366"/>
      <c r="S135" s="366"/>
      <c r="T135" s="366"/>
      <c r="U135" s="366"/>
      <c r="V135" s="366"/>
      <c r="W135" s="366"/>
    </row>
    <row r="136" spans="1:28" s="16" customFormat="1" ht="13.5">
      <c r="A136" s="14" t="s">
        <v>42</v>
      </c>
      <c r="B136" s="14" t="s">
        <v>39</v>
      </c>
      <c r="C136" s="14" t="s">
        <v>38</v>
      </c>
      <c r="D136" s="17">
        <v>1</v>
      </c>
      <c r="E136" s="18">
        <v>2</v>
      </c>
      <c r="F136" s="18">
        <v>3</v>
      </c>
      <c r="G136" s="18">
        <v>4</v>
      </c>
      <c r="H136" s="18">
        <v>5</v>
      </c>
      <c r="I136" s="18">
        <v>6</v>
      </c>
      <c r="J136" s="18">
        <v>7</v>
      </c>
      <c r="K136" s="18">
        <v>8</v>
      </c>
      <c r="L136" s="18">
        <v>9</v>
      </c>
      <c r="M136" s="18">
        <v>10</v>
      </c>
      <c r="N136" s="18">
        <v>11</v>
      </c>
      <c r="O136" s="18">
        <v>12</v>
      </c>
      <c r="P136" s="18">
        <v>13</v>
      </c>
      <c r="Q136" s="18">
        <v>14</v>
      </c>
      <c r="R136" s="18">
        <v>15</v>
      </c>
      <c r="S136" s="18">
        <v>16</v>
      </c>
      <c r="T136" s="18">
        <v>17</v>
      </c>
      <c r="U136" s="18">
        <v>18</v>
      </c>
      <c r="V136" s="19">
        <v>19</v>
      </c>
      <c r="W136" s="14" t="s">
        <v>41</v>
      </c>
    </row>
    <row r="137" spans="1:28" ht="20.25" customHeight="1">
      <c r="A137" s="14" t="str">
        <f>AA137</f>
        <v/>
      </c>
      <c r="B137" s="15" t="str">
        <f>AB137</f>
        <v/>
      </c>
      <c r="C137" s="14" t="str">
        <f>ﾄｰﾅﾒﾝﾄ!C143</f>
        <v/>
      </c>
      <c r="D137" s="20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2"/>
      <c r="W137" s="23"/>
      <c r="AA137" s="33" t="str">
        <f>VLOOKUP(C137,ｼｰﾄﾞ!$K$6:$M$69,2,0)</f>
        <v/>
      </c>
      <c r="AB137" s="33" t="str">
        <f>VLOOKUP(C137,ｼｰﾄﾞ!$K$6:$M$69,3,0)</f>
        <v/>
      </c>
    </row>
    <row r="138" spans="1:28" ht="20.25" customHeight="1">
      <c r="A138" s="14">
        <f>AA138</f>
        <v>6</v>
      </c>
      <c r="B138" s="15" t="str">
        <f>AB138</f>
        <v>はしまモア</v>
      </c>
      <c r="C138" s="14" t="str">
        <f>ﾄｰﾅﾒﾝﾄ!C145</f>
        <v>河村　一摩</v>
      </c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2"/>
      <c r="W138" s="23"/>
      <c r="AA138" s="33">
        <f>VLOOKUP(C138,ｼｰﾄﾞ!$K$6:$M$69,2,0)</f>
        <v>6</v>
      </c>
      <c r="AB138" s="33" t="str">
        <f>VLOOKUP(C138,ｼｰﾄﾞ!$K$6:$M$69,3,0)</f>
        <v>はしまモア</v>
      </c>
    </row>
    <row r="139" spans="1:28" ht="20.25" customHeight="1">
      <c r="A139" s="367" t="str">
        <f>名簿!$A$2</f>
        <v>中学男子</v>
      </c>
      <c r="B139" s="367"/>
      <c r="C139" s="367"/>
      <c r="D139" s="366" t="str">
        <f>$D$1</f>
        <v>　　トーナメント対戦表</v>
      </c>
      <c r="E139" s="366"/>
      <c r="F139" s="366"/>
      <c r="G139" s="366"/>
      <c r="H139" s="366"/>
      <c r="I139" s="366"/>
      <c r="J139" s="366"/>
      <c r="K139" s="366"/>
      <c r="L139" s="366" t="str">
        <f>$L$1</f>
        <v>１回戦</v>
      </c>
      <c r="M139" s="366"/>
      <c r="N139" s="366"/>
      <c r="O139" s="366"/>
      <c r="P139" s="366"/>
      <c r="Q139" s="366"/>
      <c r="R139" s="366"/>
      <c r="S139" s="366"/>
      <c r="T139" s="366"/>
      <c r="U139" s="366"/>
      <c r="V139" s="366"/>
      <c r="W139" s="366"/>
    </row>
    <row r="140" spans="1:28" s="16" customFormat="1" ht="13.5">
      <c r="A140" s="14" t="s">
        <v>42</v>
      </c>
      <c r="B140" s="14" t="s">
        <v>39</v>
      </c>
      <c r="C140" s="14" t="s">
        <v>38</v>
      </c>
      <c r="D140" s="17">
        <v>1</v>
      </c>
      <c r="E140" s="18">
        <v>2</v>
      </c>
      <c r="F140" s="18">
        <v>3</v>
      </c>
      <c r="G140" s="18">
        <v>4</v>
      </c>
      <c r="H140" s="18">
        <v>5</v>
      </c>
      <c r="I140" s="18">
        <v>6</v>
      </c>
      <c r="J140" s="18">
        <v>7</v>
      </c>
      <c r="K140" s="18">
        <v>8</v>
      </c>
      <c r="L140" s="18">
        <v>9</v>
      </c>
      <c r="M140" s="18">
        <v>10</v>
      </c>
      <c r="N140" s="18">
        <v>11</v>
      </c>
      <c r="O140" s="18">
        <v>12</v>
      </c>
      <c r="P140" s="18">
        <v>13</v>
      </c>
      <c r="Q140" s="18">
        <v>14</v>
      </c>
      <c r="R140" s="18">
        <v>15</v>
      </c>
      <c r="S140" s="18">
        <v>16</v>
      </c>
      <c r="T140" s="18">
        <v>17</v>
      </c>
      <c r="U140" s="18">
        <v>18</v>
      </c>
      <c r="V140" s="19">
        <v>19</v>
      </c>
      <c r="W140" s="14" t="s">
        <v>41</v>
      </c>
    </row>
    <row r="141" spans="1:28" ht="20.25" customHeight="1">
      <c r="A141" s="14">
        <f>AA141</f>
        <v>7</v>
      </c>
      <c r="B141" s="15" t="str">
        <f>AB141</f>
        <v>光が丘フェンシング</v>
      </c>
      <c r="C141" s="14" t="str">
        <f>ﾄｰﾅﾒﾝﾄ!C149</f>
        <v>黒澤　塁</v>
      </c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2"/>
      <c r="W141" s="23"/>
      <c r="AA141" s="33">
        <f>VLOOKUP(C141,ｼｰﾄﾞ!$K$6:$M$69,2,0)</f>
        <v>7</v>
      </c>
      <c r="AB141" s="33" t="str">
        <f>VLOOKUP(C141,ｼｰﾄﾞ!$K$6:$M$69,3,0)</f>
        <v>光が丘フェンシング</v>
      </c>
    </row>
    <row r="142" spans="1:28" ht="20.25" customHeight="1">
      <c r="A142" s="14" t="str">
        <f>AA142</f>
        <v/>
      </c>
      <c r="B142" s="15" t="str">
        <f>AB142</f>
        <v/>
      </c>
      <c r="C142" s="14" t="str">
        <f>ﾄｰﾅﾒﾝﾄ!C151</f>
        <v/>
      </c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2"/>
      <c r="W142" s="23"/>
      <c r="AA142" s="33" t="str">
        <f>VLOOKUP(C142,ｼｰﾄﾞ!$K$6:$M$69,2,0)</f>
        <v/>
      </c>
      <c r="AB142" s="33" t="str">
        <f>VLOOKUP(C142,ｼｰﾄﾞ!$K$6:$M$69,3,0)</f>
        <v/>
      </c>
    </row>
    <row r="143" spans="1:28" ht="16.5" customHeight="1">
      <c r="A143" s="27"/>
      <c r="B143" s="31"/>
      <c r="C143" s="3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28"/>
    </row>
    <row r="144" spans="1:28" ht="16.5" customHeight="1">
      <c r="A144" s="29"/>
      <c r="B144" s="25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30"/>
    </row>
    <row r="145" spans="1:28" ht="20.25" customHeight="1">
      <c r="A145" s="367" t="str">
        <f>名簿!$A$2</f>
        <v>中学男子</v>
      </c>
      <c r="B145" s="367"/>
      <c r="C145" s="367"/>
      <c r="D145" s="366" t="str">
        <f>$D$1</f>
        <v>　　トーナメント対戦表</v>
      </c>
      <c r="E145" s="366"/>
      <c r="F145" s="366"/>
      <c r="G145" s="366"/>
      <c r="H145" s="366"/>
      <c r="I145" s="366"/>
      <c r="J145" s="366"/>
      <c r="K145" s="366"/>
      <c r="L145" s="366" t="str">
        <f>$L$1</f>
        <v>１回戦</v>
      </c>
      <c r="M145" s="366"/>
      <c r="N145" s="366"/>
      <c r="O145" s="366"/>
      <c r="P145" s="366"/>
      <c r="Q145" s="366"/>
      <c r="R145" s="366"/>
      <c r="S145" s="366"/>
      <c r="T145" s="366"/>
      <c r="U145" s="366"/>
      <c r="V145" s="366"/>
      <c r="W145" s="366"/>
    </row>
    <row r="146" spans="1:28" s="16" customFormat="1" ht="13.5">
      <c r="A146" s="14" t="s">
        <v>42</v>
      </c>
      <c r="B146" s="14" t="s">
        <v>39</v>
      </c>
      <c r="C146" s="14" t="s">
        <v>38</v>
      </c>
      <c r="D146" s="17">
        <v>1</v>
      </c>
      <c r="E146" s="18">
        <v>2</v>
      </c>
      <c r="F146" s="18">
        <v>3</v>
      </c>
      <c r="G146" s="18">
        <v>4</v>
      </c>
      <c r="H146" s="18">
        <v>5</v>
      </c>
      <c r="I146" s="18">
        <v>6</v>
      </c>
      <c r="J146" s="18">
        <v>7</v>
      </c>
      <c r="K146" s="18">
        <v>8</v>
      </c>
      <c r="L146" s="18">
        <v>9</v>
      </c>
      <c r="M146" s="18">
        <v>10</v>
      </c>
      <c r="N146" s="18">
        <v>11</v>
      </c>
      <c r="O146" s="18">
        <v>12</v>
      </c>
      <c r="P146" s="18">
        <v>13</v>
      </c>
      <c r="Q146" s="18">
        <v>14</v>
      </c>
      <c r="R146" s="18">
        <v>15</v>
      </c>
      <c r="S146" s="18">
        <v>16</v>
      </c>
      <c r="T146" s="18">
        <v>17</v>
      </c>
      <c r="U146" s="18">
        <v>18</v>
      </c>
      <c r="V146" s="19">
        <v>19</v>
      </c>
      <c r="W146" s="14" t="s">
        <v>41</v>
      </c>
    </row>
    <row r="147" spans="1:28" ht="20.25" customHeight="1">
      <c r="A147" s="14">
        <f>AA147</f>
        <v>39</v>
      </c>
      <c r="B147" s="15" t="str">
        <f>AB147</f>
        <v>愛工大付属</v>
      </c>
      <c r="C147" s="14" t="str">
        <f>ﾄｰﾅﾒﾝﾄ!C155</f>
        <v>永津　稜麻</v>
      </c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2"/>
      <c r="W147" s="23"/>
      <c r="AA147" s="33">
        <f>VLOOKUP(C147,ｼｰﾄﾞ!$K$6:$M$69,2,0)</f>
        <v>39</v>
      </c>
      <c r="AB147" s="33" t="str">
        <f>VLOOKUP(C147,ｼｰﾄﾞ!$K$6:$M$69,3,0)</f>
        <v>愛工大付属</v>
      </c>
    </row>
    <row r="148" spans="1:28" ht="20.25" customHeight="1">
      <c r="A148" s="14">
        <f>AA148</f>
        <v>26</v>
      </c>
      <c r="B148" s="15" t="str">
        <f>AB148</f>
        <v>滋賀ＪＦＣ</v>
      </c>
      <c r="C148" s="14" t="str">
        <f>ﾄｰﾅﾒﾝﾄ!C157</f>
        <v>白川　柊毅</v>
      </c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2"/>
      <c r="W148" s="23"/>
      <c r="AA148" s="33">
        <f>VLOOKUP(C148,ｼｰﾄﾞ!$K$6:$M$69,2,0)</f>
        <v>26</v>
      </c>
      <c r="AB148" s="33" t="str">
        <f>VLOOKUP(C148,ｼｰﾄﾞ!$K$6:$M$69,3,0)</f>
        <v>滋賀ＪＦＣ</v>
      </c>
    </row>
    <row r="149" spans="1:28" ht="16.5" customHeight="1">
      <c r="A149" s="27"/>
      <c r="B149" s="31"/>
      <c r="C149" s="3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28"/>
    </row>
    <row r="150" spans="1:28" ht="16.5" customHeight="1">
      <c r="A150" s="29"/>
      <c r="B150" s="25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30"/>
    </row>
    <row r="151" spans="1:28" ht="20.25" customHeight="1">
      <c r="A151" s="367" t="str">
        <f>名簿!$A$2</f>
        <v>中学男子</v>
      </c>
      <c r="B151" s="367"/>
      <c r="C151" s="367"/>
      <c r="D151" s="366" t="str">
        <f>$D$1</f>
        <v>　　トーナメント対戦表</v>
      </c>
      <c r="E151" s="366"/>
      <c r="F151" s="366"/>
      <c r="G151" s="366"/>
      <c r="H151" s="366"/>
      <c r="I151" s="366"/>
      <c r="J151" s="366"/>
      <c r="K151" s="366"/>
      <c r="L151" s="366" t="str">
        <f>$L$1</f>
        <v>１回戦</v>
      </c>
      <c r="M151" s="366"/>
      <c r="N151" s="366"/>
      <c r="O151" s="366"/>
      <c r="P151" s="366"/>
      <c r="Q151" s="366"/>
      <c r="R151" s="366"/>
      <c r="S151" s="366"/>
      <c r="T151" s="366"/>
      <c r="U151" s="366"/>
      <c r="V151" s="366"/>
      <c r="W151" s="366"/>
    </row>
    <row r="152" spans="1:28" s="16" customFormat="1" ht="13.5">
      <c r="A152" s="14" t="s">
        <v>42</v>
      </c>
      <c r="B152" s="14" t="s">
        <v>39</v>
      </c>
      <c r="C152" s="14" t="s">
        <v>38</v>
      </c>
      <c r="D152" s="17">
        <v>1</v>
      </c>
      <c r="E152" s="18">
        <v>2</v>
      </c>
      <c r="F152" s="18">
        <v>3</v>
      </c>
      <c r="G152" s="18">
        <v>4</v>
      </c>
      <c r="H152" s="18">
        <v>5</v>
      </c>
      <c r="I152" s="18">
        <v>6</v>
      </c>
      <c r="J152" s="18">
        <v>7</v>
      </c>
      <c r="K152" s="18">
        <v>8</v>
      </c>
      <c r="L152" s="18">
        <v>9</v>
      </c>
      <c r="M152" s="18">
        <v>10</v>
      </c>
      <c r="N152" s="18">
        <v>11</v>
      </c>
      <c r="O152" s="18">
        <v>12</v>
      </c>
      <c r="P152" s="18">
        <v>13</v>
      </c>
      <c r="Q152" s="18">
        <v>14</v>
      </c>
      <c r="R152" s="18">
        <v>15</v>
      </c>
      <c r="S152" s="18">
        <v>16</v>
      </c>
      <c r="T152" s="18">
        <v>17</v>
      </c>
      <c r="U152" s="18">
        <v>18</v>
      </c>
      <c r="V152" s="19">
        <v>19</v>
      </c>
      <c r="W152" s="14" t="s">
        <v>41</v>
      </c>
    </row>
    <row r="153" spans="1:28" ht="20.25" customHeight="1">
      <c r="A153" s="14">
        <f>AA153</f>
        <v>23</v>
      </c>
      <c r="B153" s="15" t="str">
        <f>AB153</f>
        <v>婦中ＪＦＣ</v>
      </c>
      <c r="C153" s="14" t="str">
        <f>ﾄｰﾅﾒﾝﾄ!C161</f>
        <v>横山　慶汰</v>
      </c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2"/>
      <c r="W153" s="23"/>
      <c r="AA153" s="33">
        <f>VLOOKUP(C153,ｼｰﾄﾞ!$K$6:$M$69,2,0)</f>
        <v>23</v>
      </c>
      <c r="AB153" s="33" t="str">
        <f>VLOOKUP(C153,ｼｰﾄﾞ!$K$6:$M$69,3,0)</f>
        <v>婦中ＪＦＣ</v>
      </c>
    </row>
    <row r="154" spans="1:28" ht="20.25" customHeight="1">
      <c r="A154" s="14">
        <f>AA154</f>
        <v>42</v>
      </c>
      <c r="B154" s="15" t="str">
        <f>AB154</f>
        <v>武生二中</v>
      </c>
      <c r="C154" s="14" t="str">
        <f>ﾄｰﾅﾒﾝﾄ!C163</f>
        <v>坂下　快斗</v>
      </c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2"/>
      <c r="W154" s="23"/>
      <c r="AA154" s="33">
        <f>VLOOKUP(C154,ｼｰﾄﾞ!$K$6:$M$69,2,0)</f>
        <v>42</v>
      </c>
      <c r="AB154" s="33" t="str">
        <f>VLOOKUP(C154,ｼｰﾄﾞ!$K$6:$M$69,3,0)</f>
        <v>武生二中</v>
      </c>
    </row>
    <row r="155" spans="1:28" ht="16.5" customHeight="1">
      <c r="A155" s="27"/>
      <c r="B155" s="31"/>
      <c r="C155" s="3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28"/>
    </row>
    <row r="156" spans="1:28" ht="16.5" customHeight="1">
      <c r="A156" s="29"/>
      <c r="B156" s="25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30"/>
    </row>
    <row r="157" spans="1:28" ht="20.25" customHeight="1">
      <c r="A157" s="367" t="str">
        <f>名簿!$A$2</f>
        <v>中学男子</v>
      </c>
      <c r="B157" s="367"/>
      <c r="C157" s="367"/>
      <c r="D157" s="366" t="str">
        <f>$D$1</f>
        <v>　　トーナメント対戦表</v>
      </c>
      <c r="E157" s="366"/>
      <c r="F157" s="366"/>
      <c r="G157" s="366"/>
      <c r="H157" s="366"/>
      <c r="I157" s="366"/>
      <c r="J157" s="366"/>
      <c r="K157" s="366"/>
      <c r="L157" s="366" t="str">
        <f>$L$1</f>
        <v>１回戦</v>
      </c>
      <c r="M157" s="366"/>
      <c r="N157" s="366"/>
      <c r="O157" s="366"/>
      <c r="P157" s="366"/>
      <c r="Q157" s="366"/>
      <c r="R157" s="366"/>
      <c r="S157" s="366"/>
      <c r="T157" s="366"/>
      <c r="U157" s="366"/>
      <c r="V157" s="366"/>
      <c r="W157" s="366"/>
    </row>
    <row r="158" spans="1:28" s="16" customFormat="1" ht="13.5">
      <c r="A158" s="14" t="s">
        <v>42</v>
      </c>
      <c r="B158" s="14" t="s">
        <v>39</v>
      </c>
      <c r="C158" s="14" t="s">
        <v>38</v>
      </c>
      <c r="D158" s="17">
        <v>1</v>
      </c>
      <c r="E158" s="18">
        <v>2</v>
      </c>
      <c r="F158" s="18">
        <v>3</v>
      </c>
      <c r="G158" s="18">
        <v>4</v>
      </c>
      <c r="H158" s="18">
        <v>5</v>
      </c>
      <c r="I158" s="18">
        <v>6</v>
      </c>
      <c r="J158" s="18">
        <v>7</v>
      </c>
      <c r="K158" s="18">
        <v>8</v>
      </c>
      <c r="L158" s="18">
        <v>9</v>
      </c>
      <c r="M158" s="18">
        <v>10</v>
      </c>
      <c r="N158" s="18">
        <v>11</v>
      </c>
      <c r="O158" s="18">
        <v>12</v>
      </c>
      <c r="P158" s="18">
        <v>13</v>
      </c>
      <c r="Q158" s="18">
        <v>14</v>
      </c>
      <c r="R158" s="18">
        <v>15</v>
      </c>
      <c r="S158" s="18">
        <v>16</v>
      </c>
      <c r="T158" s="18">
        <v>17</v>
      </c>
      <c r="U158" s="18">
        <v>18</v>
      </c>
      <c r="V158" s="19">
        <v>19</v>
      </c>
      <c r="W158" s="14" t="s">
        <v>41</v>
      </c>
    </row>
    <row r="159" spans="1:28" ht="20.25" customHeight="1">
      <c r="A159" s="14" t="str">
        <f>AA159</f>
        <v/>
      </c>
      <c r="B159" s="15" t="str">
        <f>AB159</f>
        <v/>
      </c>
      <c r="C159" s="14" t="str">
        <f>ﾄｰﾅﾒﾝﾄ!C167</f>
        <v/>
      </c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2"/>
      <c r="W159" s="23"/>
      <c r="AA159" s="33" t="str">
        <f>VLOOKUP(C159,ｼｰﾄﾞ!$K$6:$M$69,2,0)</f>
        <v/>
      </c>
      <c r="AB159" s="33" t="str">
        <f>VLOOKUP(C159,ｼｰﾄﾞ!$K$6:$M$69,3,0)</f>
        <v/>
      </c>
    </row>
    <row r="160" spans="1:28" ht="20.25" customHeight="1">
      <c r="A160" s="14">
        <f>AA160</f>
        <v>10</v>
      </c>
      <c r="B160" s="15" t="str">
        <f>AB160</f>
        <v>河南町フェンシング</v>
      </c>
      <c r="C160" s="14" t="str">
        <f>ﾄｰﾅﾒﾝﾄ!C169</f>
        <v>菊元　雪</v>
      </c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2"/>
      <c r="W160" s="23"/>
      <c r="AA160" s="33">
        <f>VLOOKUP(C160,ｼｰﾄﾞ!$K$6:$M$69,2,0)</f>
        <v>10</v>
      </c>
      <c r="AB160" s="33" t="str">
        <f>VLOOKUP(C160,ｼｰﾄﾞ!$K$6:$M$69,3,0)</f>
        <v>河南町フェンシング</v>
      </c>
    </row>
    <row r="161" spans="1:28" ht="16.5" customHeight="1">
      <c r="A161" s="27"/>
      <c r="B161" s="31"/>
      <c r="C161" s="3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28"/>
    </row>
    <row r="162" spans="1:28" ht="16.5" customHeight="1">
      <c r="A162" s="29"/>
      <c r="B162" s="25"/>
      <c r="C162" s="25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30"/>
    </row>
    <row r="163" spans="1:28" ht="20.25" customHeight="1">
      <c r="A163" s="367" t="str">
        <f>名簿!$A$2</f>
        <v>中学男子</v>
      </c>
      <c r="B163" s="367"/>
      <c r="C163" s="367"/>
      <c r="D163" s="366" t="str">
        <f>$D$1</f>
        <v>　　トーナメント対戦表</v>
      </c>
      <c r="E163" s="366"/>
      <c r="F163" s="366"/>
      <c r="G163" s="366"/>
      <c r="H163" s="366"/>
      <c r="I163" s="366"/>
      <c r="J163" s="366"/>
      <c r="K163" s="366"/>
      <c r="L163" s="366" t="str">
        <f>$L$1</f>
        <v>１回戦</v>
      </c>
      <c r="M163" s="366"/>
      <c r="N163" s="366"/>
      <c r="O163" s="366"/>
      <c r="P163" s="366"/>
      <c r="Q163" s="366"/>
      <c r="R163" s="366"/>
      <c r="S163" s="366"/>
      <c r="T163" s="366"/>
      <c r="U163" s="366"/>
      <c r="V163" s="366"/>
      <c r="W163" s="366"/>
    </row>
    <row r="164" spans="1:28" s="16" customFormat="1" ht="13.5">
      <c r="A164" s="14" t="s">
        <v>42</v>
      </c>
      <c r="B164" s="14" t="s">
        <v>39</v>
      </c>
      <c r="C164" s="14" t="s">
        <v>38</v>
      </c>
      <c r="D164" s="17">
        <v>1</v>
      </c>
      <c r="E164" s="18">
        <v>2</v>
      </c>
      <c r="F164" s="18">
        <v>3</v>
      </c>
      <c r="G164" s="18">
        <v>4</v>
      </c>
      <c r="H164" s="18">
        <v>5</v>
      </c>
      <c r="I164" s="18">
        <v>6</v>
      </c>
      <c r="J164" s="18">
        <v>7</v>
      </c>
      <c r="K164" s="18">
        <v>8</v>
      </c>
      <c r="L164" s="18">
        <v>9</v>
      </c>
      <c r="M164" s="18">
        <v>10</v>
      </c>
      <c r="N164" s="18">
        <v>11</v>
      </c>
      <c r="O164" s="18">
        <v>12</v>
      </c>
      <c r="P164" s="18">
        <v>13</v>
      </c>
      <c r="Q164" s="18">
        <v>14</v>
      </c>
      <c r="R164" s="18">
        <v>15</v>
      </c>
      <c r="S164" s="18">
        <v>16</v>
      </c>
      <c r="T164" s="18">
        <v>17</v>
      </c>
      <c r="U164" s="18">
        <v>18</v>
      </c>
      <c r="V164" s="19">
        <v>19</v>
      </c>
      <c r="W164" s="14" t="s">
        <v>41</v>
      </c>
    </row>
    <row r="165" spans="1:28" ht="20.25" customHeight="1">
      <c r="A165" s="14">
        <f>AA165</f>
        <v>15</v>
      </c>
      <c r="B165" s="15" t="str">
        <f>AB165</f>
        <v>箕輪中学校</v>
      </c>
      <c r="C165" s="14" t="str">
        <f>ﾄｰﾅﾒﾝﾄ!C173</f>
        <v>中村　駿太</v>
      </c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2"/>
      <c r="W165" s="23"/>
      <c r="AA165" s="33">
        <f>VLOOKUP(C165,ｼｰﾄﾞ!$K$6:$M$69,2,0)</f>
        <v>15</v>
      </c>
      <c r="AB165" s="33" t="str">
        <f>VLOOKUP(C165,ｼｰﾄﾞ!$K$6:$M$69,3,0)</f>
        <v>箕輪中学校</v>
      </c>
    </row>
    <row r="166" spans="1:28" ht="20.25" customHeight="1">
      <c r="A166" s="14" t="str">
        <f>AA166</f>
        <v/>
      </c>
      <c r="B166" s="15" t="str">
        <f>AB166</f>
        <v/>
      </c>
      <c r="C166" s="14" t="str">
        <f>ﾄｰﾅﾒﾝﾄ!C175</f>
        <v/>
      </c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2"/>
      <c r="W166" s="23"/>
      <c r="AA166" s="33" t="str">
        <f>VLOOKUP(C166,ｼｰﾄﾞ!$K$6:$M$69,2,0)</f>
        <v/>
      </c>
      <c r="AB166" s="33" t="str">
        <f>VLOOKUP(C166,ｼｰﾄﾞ!$K$6:$M$69,3,0)</f>
        <v/>
      </c>
    </row>
    <row r="167" spans="1:28" ht="16.5" customHeight="1">
      <c r="A167" s="27"/>
      <c r="B167" s="31"/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28"/>
    </row>
    <row r="168" spans="1:28" ht="16.5" customHeight="1">
      <c r="A168" s="29"/>
      <c r="B168" s="25"/>
      <c r="C168" s="25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30"/>
    </row>
    <row r="169" spans="1:28" ht="20.25" customHeight="1">
      <c r="A169" s="367" t="str">
        <f>名簿!$A$2</f>
        <v>中学男子</v>
      </c>
      <c r="B169" s="367"/>
      <c r="C169" s="367"/>
      <c r="D169" s="366" t="str">
        <f>$D$1</f>
        <v>　　トーナメント対戦表</v>
      </c>
      <c r="E169" s="366"/>
      <c r="F169" s="366"/>
      <c r="G169" s="366"/>
      <c r="H169" s="366"/>
      <c r="I169" s="366"/>
      <c r="J169" s="366"/>
      <c r="K169" s="366"/>
      <c r="L169" s="366" t="str">
        <f>$L$1</f>
        <v>１回戦</v>
      </c>
      <c r="M169" s="366"/>
      <c r="N169" s="366"/>
      <c r="O169" s="366"/>
      <c r="P169" s="366"/>
      <c r="Q169" s="366"/>
      <c r="R169" s="366"/>
      <c r="S169" s="366"/>
      <c r="T169" s="366"/>
      <c r="U169" s="366"/>
      <c r="V169" s="366"/>
      <c r="W169" s="366"/>
    </row>
    <row r="170" spans="1:28" s="16" customFormat="1" ht="13.5">
      <c r="A170" s="14" t="s">
        <v>42</v>
      </c>
      <c r="B170" s="14" t="s">
        <v>39</v>
      </c>
      <c r="C170" s="14" t="s">
        <v>38</v>
      </c>
      <c r="D170" s="17">
        <v>1</v>
      </c>
      <c r="E170" s="18">
        <v>2</v>
      </c>
      <c r="F170" s="18">
        <v>3</v>
      </c>
      <c r="G170" s="18">
        <v>4</v>
      </c>
      <c r="H170" s="18">
        <v>5</v>
      </c>
      <c r="I170" s="18">
        <v>6</v>
      </c>
      <c r="J170" s="18">
        <v>7</v>
      </c>
      <c r="K170" s="18">
        <v>8</v>
      </c>
      <c r="L170" s="18">
        <v>9</v>
      </c>
      <c r="M170" s="18">
        <v>10</v>
      </c>
      <c r="N170" s="18">
        <v>11</v>
      </c>
      <c r="O170" s="18">
        <v>12</v>
      </c>
      <c r="P170" s="18">
        <v>13</v>
      </c>
      <c r="Q170" s="18">
        <v>14</v>
      </c>
      <c r="R170" s="18">
        <v>15</v>
      </c>
      <c r="S170" s="18">
        <v>16</v>
      </c>
      <c r="T170" s="18">
        <v>17</v>
      </c>
      <c r="U170" s="18">
        <v>18</v>
      </c>
      <c r="V170" s="19">
        <v>19</v>
      </c>
      <c r="W170" s="14" t="s">
        <v>41</v>
      </c>
    </row>
    <row r="171" spans="1:28" ht="20.25" customHeight="1">
      <c r="A171" s="14">
        <f>AA171</f>
        <v>47</v>
      </c>
      <c r="B171" s="15" t="str">
        <f>AB171</f>
        <v>はしまモア</v>
      </c>
      <c r="C171" s="14" t="str">
        <f>ﾄｰﾅﾒﾝﾄ!C179</f>
        <v>木曽　瑞己</v>
      </c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2"/>
      <c r="W171" s="23"/>
      <c r="AA171" s="33">
        <f>VLOOKUP(C171,ｼｰﾄﾞ!$K$6:$M$69,2,0)</f>
        <v>47</v>
      </c>
      <c r="AB171" s="33" t="str">
        <f>VLOOKUP(C171,ｼｰﾄﾞ!$K$6:$M$69,3,0)</f>
        <v>はしまモア</v>
      </c>
    </row>
    <row r="172" spans="1:28" ht="20.25" customHeight="1">
      <c r="A172" s="14">
        <f>AA172</f>
        <v>18</v>
      </c>
      <c r="B172" s="15" t="str">
        <f>AB172</f>
        <v>ワセダクラブ</v>
      </c>
      <c r="C172" s="14" t="str">
        <f>ﾄｰﾅﾒﾝﾄ!C181</f>
        <v>林　祥太郎</v>
      </c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2"/>
      <c r="W172" s="23"/>
      <c r="AA172" s="33">
        <f>VLOOKUP(C172,ｼｰﾄﾞ!$K$6:$M$69,2,0)</f>
        <v>18</v>
      </c>
      <c r="AB172" s="33" t="str">
        <f>VLOOKUP(C172,ｼｰﾄﾞ!$K$6:$M$69,3,0)</f>
        <v>ワセダクラブ</v>
      </c>
    </row>
    <row r="173" spans="1:28" ht="16.5" customHeight="1">
      <c r="A173" s="27"/>
      <c r="B173" s="31"/>
      <c r="C173" s="3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28"/>
    </row>
    <row r="174" spans="1:28" ht="16.5" customHeight="1">
      <c r="A174" s="29"/>
      <c r="B174" s="25"/>
      <c r="C174" s="25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30"/>
    </row>
    <row r="175" spans="1:28" ht="20.25" customHeight="1">
      <c r="A175" s="367" t="str">
        <f>名簿!$A$2</f>
        <v>中学男子</v>
      </c>
      <c r="B175" s="367"/>
      <c r="C175" s="367"/>
      <c r="D175" s="366" t="str">
        <f>$D$1</f>
        <v>　　トーナメント対戦表</v>
      </c>
      <c r="E175" s="366"/>
      <c r="F175" s="366"/>
      <c r="G175" s="366"/>
      <c r="H175" s="366"/>
      <c r="I175" s="366"/>
      <c r="J175" s="366"/>
      <c r="K175" s="366"/>
      <c r="L175" s="366" t="str">
        <f>$L$1</f>
        <v>１回戦</v>
      </c>
      <c r="M175" s="366"/>
      <c r="N175" s="366"/>
      <c r="O175" s="366"/>
      <c r="P175" s="366"/>
      <c r="Q175" s="366"/>
      <c r="R175" s="366"/>
      <c r="S175" s="366"/>
      <c r="T175" s="366"/>
      <c r="U175" s="366"/>
      <c r="V175" s="366"/>
      <c r="W175" s="366"/>
    </row>
    <row r="176" spans="1:28" s="16" customFormat="1" ht="13.5">
      <c r="A176" s="14" t="s">
        <v>42</v>
      </c>
      <c r="B176" s="14" t="s">
        <v>39</v>
      </c>
      <c r="C176" s="14" t="s">
        <v>38</v>
      </c>
      <c r="D176" s="17">
        <v>1</v>
      </c>
      <c r="E176" s="18">
        <v>2</v>
      </c>
      <c r="F176" s="18">
        <v>3</v>
      </c>
      <c r="G176" s="18">
        <v>4</v>
      </c>
      <c r="H176" s="18">
        <v>5</v>
      </c>
      <c r="I176" s="18">
        <v>6</v>
      </c>
      <c r="J176" s="18">
        <v>7</v>
      </c>
      <c r="K176" s="18">
        <v>8</v>
      </c>
      <c r="L176" s="18">
        <v>9</v>
      </c>
      <c r="M176" s="18">
        <v>10</v>
      </c>
      <c r="N176" s="18">
        <v>11</v>
      </c>
      <c r="O176" s="18">
        <v>12</v>
      </c>
      <c r="P176" s="18">
        <v>13</v>
      </c>
      <c r="Q176" s="18">
        <v>14</v>
      </c>
      <c r="R176" s="18">
        <v>15</v>
      </c>
      <c r="S176" s="18">
        <v>16</v>
      </c>
      <c r="T176" s="18">
        <v>17</v>
      </c>
      <c r="U176" s="18">
        <v>18</v>
      </c>
      <c r="V176" s="19">
        <v>19</v>
      </c>
      <c r="W176" s="14" t="s">
        <v>41</v>
      </c>
    </row>
    <row r="177" spans="1:28" ht="20.25" customHeight="1">
      <c r="A177" s="14">
        <f>AA177</f>
        <v>31</v>
      </c>
      <c r="B177" s="15" t="str">
        <f>AB177</f>
        <v>はしまモア</v>
      </c>
      <c r="C177" s="14" t="str">
        <f>ﾄｰﾅﾒﾝﾄ!C185</f>
        <v>光田　陽翔</v>
      </c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2"/>
      <c r="W177" s="23"/>
      <c r="AA177" s="33">
        <f>VLOOKUP(C177,ｼｰﾄﾞ!$K$6:$M$69,2,0)</f>
        <v>31</v>
      </c>
      <c r="AB177" s="33" t="str">
        <f>VLOOKUP(C177,ｼｰﾄﾞ!$K$6:$M$69,3,0)</f>
        <v>はしまモア</v>
      </c>
    </row>
    <row r="178" spans="1:28" ht="20.25" customHeight="1">
      <c r="A178" s="14">
        <f>AA178</f>
        <v>34</v>
      </c>
      <c r="B178" s="15" t="str">
        <f>AB178</f>
        <v>はしまモア</v>
      </c>
      <c r="C178" s="14" t="str">
        <f>ﾄｰﾅﾒﾝﾄ!C187</f>
        <v>大橋　拓叶</v>
      </c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2"/>
      <c r="W178" s="23"/>
      <c r="AA178" s="33">
        <f>VLOOKUP(C178,ｼｰﾄﾞ!$K$6:$M$69,2,0)</f>
        <v>34</v>
      </c>
      <c r="AB178" s="33" t="str">
        <f>VLOOKUP(C178,ｼｰﾄﾞ!$K$6:$M$69,3,0)</f>
        <v>はしまモア</v>
      </c>
    </row>
    <row r="179" spans="1:28" ht="16.5" customHeight="1">
      <c r="A179" s="27"/>
      <c r="B179" s="31"/>
      <c r="C179" s="3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28"/>
    </row>
    <row r="180" spans="1:28" ht="16.5" customHeight="1">
      <c r="A180" s="29"/>
      <c r="B180" s="25"/>
      <c r="C180" s="25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30"/>
    </row>
    <row r="181" spans="1:28" ht="20.25" customHeight="1">
      <c r="A181" s="367" t="str">
        <f>名簿!$A$2</f>
        <v>中学男子</v>
      </c>
      <c r="B181" s="367"/>
      <c r="C181" s="367"/>
      <c r="D181" s="366" t="str">
        <f>$D$1</f>
        <v>　　トーナメント対戦表</v>
      </c>
      <c r="E181" s="366"/>
      <c r="F181" s="366"/>
      <c r="G181" s="366"/>
      <c r="H181" s="366"/>
      <c r="I181" s="366"/>
      <c r="J181" s="366"/>
      <c r="K181" s="366"/>
      <c r="L181" s="366" t="str">
        <f>$L$1</f>
        <v>１回戦</v>
      </c>
      <c r="M181" s="366"/>
      <c r="N181" s="366"/>
      <c r="O181" s="366"/>
      <c r="P181" s="366"/>
      <c r="Q181" s="366"/>
      <c r="R181" s="366"/>
      <c r="S181" s="366"/>
      <c r="T181" s="366"/>
      <c r="U181" s="366"/>
      <c r="V181" s="366"/>
      <c r="W181" s="366"/>
    </row>
    <row r="182" spans="1:28" s="16" customFormat="1" ht="13.5">
      <c r="A182" s="14" t="s">
        <v>42</v>
      </c>
      <c r="B182" s="14" t="s">
        <v>39</v>
      </c>
      <c r="C182" s="14" t="s">
        <v>38</v>
      </c>
      <c r="D182" s="17">
        <v>1</v>
      </c>
      <c r="E182" s="18">
        <v>2</v>
      </c>
      <c r="F182" s="18">
        <v>3</v>
      </c>
      <c r="G182" s="18">
        <v>4</v>
      </c>
      <c r="H182" s="18">
        <v>5</v>
      </c>
      <c r="I182" s="18">
        <v>6</v>
      </c>
      <c r="J182" s="18">
        <v>7</v>
      </c>
      <c r="K182" s="18">
        <v>8</v>
      </c>
      <c r="L182" s="18">
        <v>9</v>
      </c>
      <c r="M182" s="18">
        <v>10</v>
      </c>
      <c r="N182" s="18">
        <v>11</v>
      </c>
      <c r="O182" s="18">
        <v>12</v>
      </c>
      <c r="P182" s="18">
        <v>13</v>
      </c>
      <c r="Q182" s="18">
        <v>14</v>
      </c>
      <c r="R182" s="18">
        <v>15</v>
      </c>
      <c r="S182" s="18">
        <v>16</v>
      </c>
      <c r="T182" s="18">
        <v>17</v>
      </c>
      <c r="U182" s="18">
        <v>18</v>
      </c>
      <c r="V182" s="19">
        <v>19</v>
      </c>
      <c r="W182" s="14" t="s">
        <v>41</v>
      </c>
    </row>
    <row r="183" spans="1:28" ht="20.25" customHeight="1">
      <c r="A183" s="14" t="str">
        <f>AA183</f>
        <v/>
      </c>
      <c r="B183" s="15" t="str">
        <f>AB183</f>
        <v/>
      </c>
      <c r="C183" s="14" t="str">
        <f>ﾄｰﾅﾒﾝﾄ!C191</f>
        <v/>
      </c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2"/>
      <c r="W183" s="23"/>
      <c r="AA183" s="33" t="str">
        <f>VLOOKUP(C183,ｼｰﾄﾞ!$K$6:$M$69,2,0)</f>
        <v/>
      </c>
      <c r="AB183" s="33" t="str">
        <f>VLOOKUP(C183,ｼｰﾄﾞ!$K$6:$M$69,3,0)</f>
        <v/>
      </c>
    </row>
    <row r="184" spans="1:28" ht="20.25" customHeight="1">
      <c r="A184" s="14">
        <f>AA184</f>
        <v>2</v>
      </c>
      <c r="B184" s="15" t="str">
        <f>AB184</f>
        <v>愛工大付属</v>
      </c>
      <c r="C184" s="14" t="str">
        <f>ﾄｰﾅﾒﾝﾄ!C193</f>
        <v>太田　拓輝</v>
      </c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2"/>
      <c r="W184" s="23"/>
      <c r="AA184" s="33">
        <f>VLOOKUP(C184,ｼｰﾄﾞ!$K$6:$M$69,2,0)</f>
        <v>2</v>
      </c>
      <c r="AB184" s="33" t="str">
        <f>VLOOKUP(C184,ｼｰﾄﾞ!$K$6:$M$69,3,0)</f>
        <v>愛工大付属</v>
      </c>
    </row>
  </sheetData>
  <mergeCells count="96">
    <mergeCell ref="A175:C175"/>
    <mergeCell ref="A181:C181"/>
    <mergeCell ref="A105:C105"/>
    <mergeCell ref="A111:C111"/>
    <mergeCell ref="A117:C117"/>
    <mergeCell ref="A123:C123"/>
    <mergeCell ref="A139:C139"/>
    <mergeCell ref="A145:C145"/>
    <mergeCell ref="A151:C151"/>
    <mergeCell ref="A157:C157"/>
    <mergeCell ref="A163:C163"/>
    <mergeCell ref="A169:C169"/>
    <mergeCell ref="D157:K157"/>
    <mergeCell ref="L157:W157"/>
    <mergeCell ref="D129:K129"/>
    <mergeCell ref="L129:W129"/>
    <mergeCell ref="A135:C135"/>
    <mergeCell ref="D139:K139"/>
    <mergeCell ref="L139:W139"/>
    <mergeCell ref="D151:K151"/>
    <mergeCell ref="L151:W151"/>
    <mergeCell ref="D135:K135"/>
    <mergeCell ref="L135:W135"/>
    <mergeCell ref="D145:K145"/>
    <mergeCell ref="L145:W145"/>
    <mergeCell ref="A1:C1"/>
    <mergeCell ref="A7:C7"/>
    <mergeCell ref="A13:C13"/>
    <mergeCell ref="A19:C19"/>
    <mergeCell ref="A129:C129"/>
    <mergeCell ref="A47:C47"/>
    <mergeCell ref="D181:K181"/>
    <mergeCell ref="L181:W181"/>
    <mergeCell ref="D163:K163"/>
    <mergeCell ref="L163:W163"/>
    <mergeCell ref="D169:K169"/>
    <mergeCell ref="L169:W169"/>
    <mergeCell ref="D175:K175"/>
    <mergeCell ref="L175:W175"/>
    <mergeCell ref="L123:W123"/>
    <mergeCell ref="D123:K123"/>
    <mergeCell ref="L105:W105"/>
    <mergeCell ref="D111:K111"/>
    <mergeCell ref="L111:W111"/>
    <mergeCell ref="D117:K117"/>
    <mergeCell ref="L117:W117"/>
    <mergeCell ref="D105:K105"/>
    <mergeCell ref="L99:W99"/>
    <mergeCell ref="L83:W83"/>
    <mergeCell ref="D89:K89"/>
    <mergeCell ref="L89:W89"/>
    <mergeCell ref="A83:C83"/>
    <mergeCell ref="A89:C89"/>
    <mergeCell ref="D93:K93"/>
    <mergeCell ref="L93:W93"/>
    <mergeCell ref="D99:K99"/>
    <mergeCell ref="D83:K83"/>
    <mergeCell ref="A93:C93"/>
    <mergeCell ref="A99:C99"/>
    <mergeCell ref="L77:W77"/>
    <mergeCell ref="D53:K53"/>
    <mergeCell ref="L53:W53"/>
    <mergeCell ref="A71:C71"/>
    <mergeCell ref="A77:C77"/>
    <mergeCell ref="D59:K59"/>
    <mergeCell ref="L59:W59"/>
    <mergeCell ref="D65:K65"/>
    <mergeCell ref="L65:W65"/>
    <mergeCell ref="A59:C59"/>
    <mergeCell ref="D71:K71"/>
    <mergeCell ref="L71:W71"/>
    <mergeCell ref="A53:C53"/>
    <mergeCell ref="D77:K77"/>
    <mergeCell ref="A65:C65"/>
    <mergeCell ref="D47:K47"/>
    <mergeCell ref="L47:W47"/>
    <mergeCell ref="D31:K31"/>
    <mergeCell ref="L31:W31"/>
    <mergeCell ref="A25:C25"/>
    <mergeCell ref="A31:C31"/>
    <mergeCell ref="D25:K25"/>
    <mergeCell ref="L25:W25"/>
    <mergeCell ref="D37:K37"/>
    <mergeCell ref="L37:W37"/>
    <mergeCell ref="D43:K43"/>
    <mergeCell ref="L43:W43"/>
    <mergeCell ref="A37:C37"/>
    <mergeCell ref="A43:C43"/>
    <mergeCell ref="D1:K1"/>
    <mergeCell ref="L1:W1"/>
    <mergeCell ref="D19:K19"/>
    <mergeCell ref="L19:W19"/>
    <mergeCell ref="D7:K7"/>
    <mergeCell ref="L7:W7"/>
    <mergeCell ref="D13:K13"/>
    <mergeCell ref="L13:W13"/>
  </mergeCells>
  <phoneticPr fontId="3"/>
  <printOptions horizontalCentered="1"/>
  <pageMargins left="0.59055118110236227" right="0.39370078740157483" top="0.51181102362204722" bottom="0.5118110236220472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zoomScale="85" workbookViewId="0">
      <selection activeCell="D2" sqref="D2:W4"/>
    </sheetView>
  </sheetViews>
  <sheetFormatPr defaultColWidth="4" defaultRowHeight="20.25" customHeight="1" outlineLevelCol="1"/>
  <cols>
    <col min="1" max="1" width="4.5703125" style="16" customWidth="1"/>
    <col min="2" max="2" width="15.85546875" style="16" customWidth="1"/>
    <col min="3" max="3" width="16.42578125" style="16" bestFit="1" customWidth="1"/>
    <col min="4" max="16" width="4" style="24" customWidth="1"/>
    <col min="17" max="22" width="4" style="24" hidden="1" customWidth="1" outlineLevel="1"/>
    <col min="23" max="23" width="4" style="24" customWidth="1" collapsed="1"/>
    <col min="24" max="25" width="4" style="24" customWidth="1"/>
    <col min="26" max="26" width="5.28515625" style="24" hidden="1" customWidth="1" outlineLevel="1"/>
    <col min="27" max="27" width="18.42578125" style="24" hidden="1" customWidth="1" outlineLevel="1"/>
    <col min="28" max="28" width="4" style="24" collapsed="1"/>
    <col min="29" max="16384" width="4" style="24"/>
  </cols>
  <sheetData>
    <row r="1" spans="1:27" ht="20.25" customHeight="1">
      <c r="A1" s="367" t="str">
        <f>"　"&amp;名簿!$A$2</f>
        <v>　中学男子</v>
      </c>
      <c r="B1" s="367"/>
      <c r="C1" s="367"/>
      <c r="D1" s="366" t="s">
        <v>40</v>
      </c>
      <c r="E1" s="366"/>
      <c r="F1" s="366"/>
      <c r="G1" s="366"/>
      <c r="H1" s="366"/>
      <c r="I1" s="366"/>
      <c r="J1" s="366"/>
      <c r="K1" s="366"/>
      <c r="L1" s="366" t="s">
        <v>45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</row>
    <row r="2" spans="1:27" s="16" customFormat="1" ht="20.25" customHeight="1">
      <c r="A2" s="14" t="s">
        <v>43</v>
      </c>
      <c r="B2" s="14" t="s">
        <v>39</v>
      </c>
      <c r="C2" s="14" t="s">
        <v>38</v>
      </c>
      <c r="D2" s="17">
        <v>1</v>
      </c>
      <c r="E2" s="18">
        <v>2</v>
      </c>
      <c r="F2" s="18">
        <v>3</v>
      </c>
      <c r="G2" s="18">
        <v>4</v>
      </c>
      <c r="H2" s="18">
        <v>5</v>
      </c>
      <c r="I2" s="18">
        <v>6</v>
      </c>
      <c r="J2" s="18">
        <v>7</v>
      </c>
      <c r="K2" s="18">
        <v>8</v>
      </c>
      <c r="L2" s="18">
        <v>9</v>
      </c>
      <c r="M2" s="18">
        <v>10</v>
      </c>
      <c r="N2" s="18">
        <v>11</v>
      </c>
      <c r="O2" s="18">
        <v>12</v>
      </c>
      <c r="P2" s="18">
        <v>13</v>
      </c>
      <c r="Q2" s="18">
        <v>14</v>
      </c>
      <c r="R2" s="18">
        <v>15</v>
      </c>
      <c r="S2" s="18">
        <v>16</v>
      </c>
      <c r="T2" s="18">
        <v>17</v>
      </c>
      <c r="U2" s="18">
        <v>18</v>
      </c>
      <c r="V2" s="19">
        <v>19</v>
      </c>
      <c r="W2" s="14" t="s">
        <v>41</v>
      </c>
    </row>
    <row r="3" spans="1:27" ht="20.25" customHeight="1">
      <c r="A3" s="14">
        <f>IF(ISERROR(Z3),"",Z3)</f>
        <v>1</v>
      </c>
      <c r="B3" s="14" t="str">
        <f>IF(ISERROR(AA3),"",AA3)</f>
        <v>はしまモア</v>
      </c>
      <c r="C3" s="14" t="str">
        <f>ﾄｰﾅﾒﾝﾄ!D6</f>
        <v>福田　亮介</v>
      </c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3"/>
      <c r="Z3" s="33">
        <f>VLOOKUP(C3,ｼｰﾄﾞ!$K$6:$M$69,2,0)</f>
        <v>1</v>
      </c>
      <c r="AA3" s="33" t="str">
        <f>VLOOKUP(C3,ｼｰﾄﾞ!$K$6:$M$69,3,0)</f>
        <v>はしまモア</v>
      </c>
    </row>
    <row r="4" spans="1:27" ht="20.25" customHeight="1">
      <c r="A4" s="14">
        <f>IF(ISERROR(Z4),"",Z4)</f>
        <v>33</v>
      </c>
      <c r="B4" s="14" t="str">
        <f>IF(ISERROR(AA4),"",AA4)</f>
        <v>長野ジュニア</v>
      </c>
      <c r="C4" s="14" t="str">
        <f>ﾄｰﾅﾒﾝﾄ!D12</f>
        <v>登内　雄心</v>
      </c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  <c r="W4" s="23"/>
      <c r="Z4" s="33">
        <f>VLOOKUP(C4,ｼｰﾄﾞ!$K$6:$M$69,2,0)</f>
        <v>33</v>
      </c>
      <c r="AA4" s="33" t="str">
        <f>VLOOKUP(C4,ｼｰﾄﾞ!$K$6:$M$69,3,0)</f>
        <v>長野ジュニア</v>
      </c>
    </row>
    <row r="5" spans="1:27" ht="24.75" customHeight="1"/>
    <row r="6" spans="1:27" ht="20.25" customHeight="1">
      <c r="A6" s="367" t="str">
        <f>"　"&amp;名簿!$A$2</f>
        <v>　中学男子</v>
      </c>
      <c r="B6" s="367"/>
      <c r="C6" s="367"/>
      <c r="D6" s="366" t="str">
        <f>$D$1</f>
        <v>　　トーナメント対戦表</v>
      </c>
      <c r="E6" s="366"/>
      <c r="F6" s="366"/>
      <c r="G6" s="366"/>
      <c r="H6" s="366"/>
      <c r="I6" s="366"/>
      <c r="J6" s="366"/>
      <c r="K6" s="366"/>
      <c r="L6" s="366" t="str">
        <f>$L$1</f>
        <v>２回戦</v>
      </c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</row>
    <row r="7" spans="1:27" s="16" customFormat="1" ht="20.25" customHeight="1">
      <c r="A7" s="14" t="s">
        <v>43</v>
      </c>
      <c r="B7" s="14" t="s">
        <v>39</v>
      </c>
      <c r="C7" s="14" t="s">
        <v>38</v>
      </c>
      <c r="D7" s="17">
        <v>1</v>
      </c>
      <c r="E7" s="18">
        <v>2</v>
      </c>
      <c r="F7" s="18">
        <v>3</v>
      </c>
      <c r="G7" s="18">
        <v>4</v>
      </c>
      <c r="H7" s="18">
        <v>5</v>
      </c>
      <c r="I7" s="18">
        <v>6</v>
      </c>
      <c r="J7" s="18">
        <v>7</v>
      </c>
      <c r="K7" s="18">
        <v>8</v>
      </c>
      <c r="L7" s="18">
        <v>9</v>
      </c>
      <c r="M7" s="18">
        <v>10</v>
      </c>
      <c r="N7" s="18">
        <v>11</v>
      </c>
      <c r="O7" s="18">
        <v>12</v>
      </c>
      <c r="P7" s="18">
        <v>13</v>
      </c>
      <c r="Q7" s="18">
        <v>14</v>
      </c>
      <c r="R7" s="18">
        <v>15</v>
      </c>
      <c r="S7" s="18">
        <v>16</v>
      </c>
      <c r="T7" s="18">
        <v>17</v>
      </c>
      <c r="U7" s="18">
        <v>18</v>
      </c>
      <c r="V7" s="19">
        <v>19</v>
      </c>
      <c r="W7" s="14" t="s">
        <v>41</v>
      </c>
    </row>
    <row r="8" spans="1:27" ht="20.25" customHeight="1">
      <c r="A8" s="14">
        <f>IF(ISERROR(Z8),"",Z8)</f>
        <v>17</v>
      </c>
      <c r="B8" s="14" t="str">
        <f>IF(ISERROR(AA8),"",AA8)</f>
        <v>はしまモア</v>
      </c>
      <c r="C8" s="14" t="str">
        <f>ﾄｰﾅﾒﾝﾄ!D18</f>
        <v>石橋　廉大</v>
      </c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3"/>
      <c r="Z8" s="33">
        <f>VLOOKUP(C8,ｼｰﾄﾞ!$K$6:$M$69,2,0)</f>
        <v>17</v>
      </c>
      <c r="AA8" s="33" t="str">
        <f>VLOOKUP(C8,ｼｰﾄﾞ!$K$6:$M$69,3,0)</f>
        <v>はしまモア</v>
      </c>
    </row>
    <row r="9" spans="1:27" ht="20.25" customHeight="1">
      <c r="A9" s="14">
        <f>IF(ISERROR(Z9),"",Z9)</f>
        <v>16</v>
      </c>
      <c r="B9" s="14" t="str">
        <f>IF(ISERROR(AA9),"",AA9)</f>
        <v>愛工大付属</v>
      </c>
      <c r="C9" s="14" t="str">
        <f>ﾄｰﾅﾒﾝﾄ!D24</f>
        <v>伊藤　真吾</v>
      </c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3"/>
      <c r="Z9" s="33">
        <f>VLOOKUP(C9,ｼｰﾄﾞ!$K$6:$M$69,2,0)</f>
        <v>16</v>
      </c>
      <c r="AA9" s="33" t="str">
        <f>VLOOKUP(C9,ｼｰﾄﾞ!$K$6:$M$69,3,0)</f>
        <v>愛工大付属</v>
      </c>
    </row>
    <row r="10" spans="1:27" ht="24.75" customHeight="1"/>
    <row r="11" spans="1:27" ht="20.25" customHeight="1">
      <c r="A11" s="367" t="str">
        <f>"　"&amp;名簿!$A$2</f>
        <v>　中学男子</v>
      </c>
      <c r="B11" s="367"/>
      <c r="C11" s="367"/>
      <c r="D11" s="366" t="str">
        <f>$D$1</f>
        <v>　　トーナメント対戦表</v>
      </c>
      <c r="E11" s="366"/>
      <c r="F11" s="366"/>
      <c r="G11" s="366"/>
      <c r="H11" s="366"/>
      <c r="I11" s="366"/>
      <c r="J11" s="366"/>
      <c r="K11" s="366"/>
      <c r="L11" s="366" t="str">
        <f>$L$1</f>
        <v>２回戦</v>
      </c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</row>
    <row r="12" spans="1:27" s="16" customFormat="1" ht="20.25" customHeight="1">
      <c r="A12" s="14" t="s">
        <v>43</v>
      </c>
      <c r="B12" s="14" t="s">
        <v>39</v>
      </c>
      <c r="C12" s="14" t="s">
        <v>38</v>
      </c>
      <c r="D12" s="17">
        <v>1</v>
      </c>
      <c r="E12" s="18">
        <v>2</v>
      </c>
      <c r="F12" s="18">
        <v>3</v>
      </c>
      <c r="G12" s="18">
        <v>4</v>
      </c>
      <c r="H12" s="18">
        <v>5</v>
      </c>
      <c r="I12" s="18">
        <v>6</v>
      </c>
      <c r="J12" s="18">
        <v>7</v>
      </c>
      <c r="K12" s="18">
        <v>8</v>
      </c>
      <c r="L12" s="18">
        <v>9</v>
      </c>
      <c r="M12" s="18">
        <v>10</v>
      </c>
      <c r="N12" s="18">
        <v>11</v>
      </c>
      <c r="O12" s="18">
        <v>12</v>
      </c>
      <c r="P12" s="18">
        <v>13</v>
      </c>
      <c r="Q12" s="18">
        <v>14</v>
      </c>
      <c r="R12" s="18">
        <v>15</v>
      </c>
      <c r="S12" s="18">
        <v>16</v>
      </c>
      <c r="T12" s="18">
        <v>17</v>
      </c>
      <c r="U12" s="18">
        <v>18</v>
      </c>
      <c r="V12" s="19">
        <v>19</v>
      </c>
      <c r="W12" s="14" t="s">
        <v>41</v>
      </c>
    </row>
    <row r="13" spans="1:27" ht="20.25" customHeight="1">
      <c r="A13" s="14">
        <f>IF(ISERROR(Z13),"",Z13)</f>
        <v>9</v>
      </c>
      <c r="B13" s="14" t="str">
        <f>IF(ISERROR(AA13),"",AA13)</f>
        <v>法政大第二中学</v>
      </c>
      <c r="C13" s="14" t="str">
        <f>ﾄｰﾅﾒﾝﾄ!D30</f>
        <v>安井　琥珀</v>
      </c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  <c r="W13" s="23"/>
      <c r="Z13" s="33">
        <f>VLOOKUP(C13,ｼｰﾄﾞ!$K$6:$M$69,2,0)</f>
        <v>9</v>
      </c>
      <c r="AA13" s="33" t="str">
        <f>VLOOKUP(C13,ｼｰﾄﾞ!$K$6:$M$69,3,0)</f>
        <v>法政大第二中学</v>
      </c>
    </row>
    <row r="14" spans="1:27" ht="20.25" customHeight="1">
      <c r="A14" s="14">
        <f>IF(ISERROR(Z14),"",Z14)</f>
        <v>24</v>
      </c>
      <c r="B14" s="14" t="str">
        <f>IF(ISERROR(AA14),"",AA14)</f>
        <v>富山パレス</v>
      </c>
      <c r="C14" s="14" t="str">
        <f>ﾄｰﾅﾒﾝﾄ!D36</f>
        <v>高畠　龍斗</v>
      </c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23"/>
      <c r="Z14" s="33">
        <f>VLOOKUP(C14,ｼｰﾄﾞ!$K$6:$M$69,2,0)</f>
        <v>24</v>
      </c>
      <c r="AA14" s="33" t="str">
        <f>VLOOKUP(C14,ｼｰﾄﾞ!$K$6:$M$69,3,0)</f>
        <v>富山パレス</v>
      </c>
    </row>
    <row r="15" spans="1:27" ht="24.75" customHeight="1"/>
    <row r="16" spans="1:27" ht="20.25" customHeight="1">
      <c r="A16" s="367" t="str">
        <f>"　"&amp;名簿!$A$2</f>
        <v>　中学男子</v>
      </c>
      <c r="B16" s="367"/>
      <c r="C16" s="367"/>
      <c r="D16" s="366" t="str">
        <f>$D$1</f>
        <v>　　トーナメント対戦表</v>
      </c>
      <c r="E16" s="366"/>
      <c r="F16" s="366"/>
      <c r="G16" s="366"/>
      <c r="H16" s="366"/>
      <c r="I16" s="366"/>
      <c r="J16" s="366"/>
      <c r="K16" s="366"/>
      <c r="L16" s="366" t="str">
        <f>$L$1</f>
        <v>２回戦</v>
      </c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</row>
    <row r="17" spans="1:27" s="16" customFormat="1" ht="20.25" customHeight="1">
      <c r="A17" s="14" t="s">
        <v>43</v>
      </c>
      <c r="B17" s="14" t="s">
        <v>39</v>
      </c>
      <c r="C17" s="14" t="s">
        <v>38</v>
      </c>
      <c r="D17" s="17">
        <v>1</v>
      </c>
      <c r="E17" s="18">
        <v>2</v>
      </c>
      <c r="F17" s="18">
        <v>3</v>
      </c>
      <c r="G17" s="18">
        <v>4</v>
      </c>
      <c r="H17" s="18">
        <v>5</v>
      </c>
      <c r="I17" s="18">
        <v>6</v>
      </c>
      <c r="J17" s="18">
        <v>7</v>
      </c>
      <c r="K17" s="18">
        <v>8</v>
      </c>
      <c r="L17" s="18">
        <v>9</v>
      </c>
      <c r="M17" s="18">
        <v>10</v>
      </c>
      <c r="N17" s="18">
        <v>11</v>
      </c>
      <c r="O17" s="18">
        <v>12</v>
      </c>
      <c r="P17" s="18">
        <v>13</v>
      </c>
      <c r="Q17" s="18">
        <v>14</v>
      </c>
      <c r="R17" s="18">
        <v>15</v>
      </c>
      <c r="S17" s="18">
        <v>16</v>
      </c>
      <c r="T17" s="18">
        <v>17</v>
      </c>
      <c r="U17" s="18">
        <v>18</v>
      </c>
      <c r="V17" s="19">
        <v>19</v>
      </c>
      <c r="W17" s="14" t="s">
        <v>41</v>
      </c>
    </row>
    <row r="18" spans="1:27" ht="20.25" customHeight="1">
      <c r="A18" s="14">
        <f>IF(ISERROR(Z18),"",Z18)</f>
        <v>25</v>
      </c>
      <c r="B18" s="14" t="str">
        <f>IF(ISERROR(AA18),"",AA18)</f>
        <v>愛工大付属</v>
      </c>
      <c r="C18" s="14" t="str">
        <f>ﾄｰﾅﾒﾝﾄ!D42</f>
        <v>弓長　昇主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3"/>
      <c r="Z18" s="33">
        <f>VLOOKUP(C18,ｼｰﾄﾞ!$K$6:$M$69,2,0)</f>
        <v>25</v>
      </c>
      <c r="AA18" s="33" t="str">
        <f>VLOOKUP(C18,ｼｰﾄﾞ!$K$6:$M$69,3,0)</f>
        <v>愛工大付属</v>
      </c>
    </row>
    <row r="19" spans="1:27" ht="20.25" customHeight="1">
      <c r="A19" s="14">
        <f>IF(ISERROR(Z19),"",Z19)</f>
        <v>8</v>
      </c>
      <c r="B19" s="14" t="str">
        <f>IF(ISERROR(AA19),"",AA19)</f>
        <v>速星中学校</v>
      </c>
      <c r="C19" s="14" t="str">
        <f>ﾄｰﾅﾒﾝﾄ!D48</f>
        <v>石川　凌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  <c r="W19" s="23"/>
      <c r="Z19" s="33">
        <f>VLOOKUP(C19,ｼｰﾄﾞ!$K$6:$M$69,2,0)</f>
        <v>8</v>
      </c>
      <c r="AA19" s="33" t="str">
        <f>VLOOKUP(C19,ｼｰﾄﾞ!$K$6:$M$69,3,0)</f>
        <v>速星中学校</v>
      </c>
    </row>
    <row r="20" spans="1:27" ht="24.75" customHeight="1"/>
    <row r="21" spans="1:27" ht="20.25" customHeight="1">
      <c r="A21" s="367" t="str">
        <f>"　"&amp;名簿!$A$2</f>
        <v>　中学男子</v>
      </c>
      <c r="B21" s="367"/>
      <c r="C21" s="367"/>
      <c r="D21" s="366" t="str">
        <f>$D$1</f>
        <v>　　トーナメント対戦表</v>
      </c>
      <c r="E21" s="366"/>
      <c r="F21" s="366"/>
      <c r="G21" s="366"/>
      <c r="H21" s="366"/>
      <c r="I21" s="366"/>
      <c r="J21" s="366"/>
      <c r="K21" s="366"/>
      <c r="L21" s="366" t="str">
        <f>$L$1</f>
        <v>２回戦</v>
      </c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</row>
    <row r="22" spans="1:27" s="16" customFormat="1" ht="20.25" customHeight="1">
      <c r="A22" s="14" t="s">
        <v>43</v>
      </c>
      <c r="B22" s="14" t="s">
        <v>39</v>
      </c>
      <c r="C22" s="14" t="s">
        <v>38</v>
      </c>
      <c r="D22" s="17">
        <v>1</v>
      </c>
      <c r="E22" s="18">
        <v>2</v>
      </c>
      <c r="F22" s="18">
        <v>3</v>
      </c>
      <c r="G22" s="18">
        <v>4</v>
      </c>
      <c r="H22" s="18">
        <v>5</v>
      </c>
      <c r="I22" s="18">
        <v>6</v>
      </c>
      <c r="J22" s="18">
        <v>7</v>
      </c>
      <c r="K22" s="18">
        <v>8</v>
      </c>
      <c r="L22" s="18">
        <v>9</v>
      </c>
      <c r="M22" s="18">
        <v>10</v>
      </c>
      <c r="N22" s="18">
        <v>11</v>
      </c>
      <c r="O22" s="18">
        <v>12</v>
      </c>
      <c r="P22" s="18">
        <v>13</v>
      </c>
      <c r="Q22" s="18">
        <v>14</v>
      </c>
      <c r="R22" s="18">
        <v>15</v>
      </c>
      <c r="S22" s="18">
        <v>16</v>
      </c>
      <c r="T22" s="18">
        <v>17</v>
      </c>
      <c r="U22" s="18">
        <v>18</v>
      </c>
      <c r="V22" s="19">
        <v>19</v>
      </c>
      <c r="W22" s="14" t="s">
        <v>41</v>
      </c>
    </row>
    <row r="23" spans="1:27" ht="20.25" customHeight="1">
      <c r="A23" s="14">
        <f>IF(ISERROR(Z23),"",Z23)</f>
        <v>5</v>
      </c>
      <c r="B23" s="14" t="str">
        <f>IF(ISERROR(AA23),"",AA23)</f>
        <v>大垣クラブ</v>
      </c>
      <c r="C23" s="14" t="str">
        <f>ﾄｰﾅﾒﾝﾄ!D54</f>
        <v>國枝　契太</v>
      </c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2"/>
      <c r="W23" s="23"/>
      <c r="Z23" s="33">
        <f>VLOOKUP(C23,ｼｰﾄﾞ!$K$6:$M$69,2,0)</f>
        <v>5</v>
      </c>
      <c r="AA23" s="33" t="str">
        <f>VLOOKUP(C23,ｼｰﾄﾞ!$K$6:$M$69,3,0)</f>
        <v>大垣クラブ</v>
      </c>
    </row>
    <row r="24" spans="1:27" ht="20.25" customHeight="1">
      <c r="A24" s="14">
        <f>IF(ISERROR(Z24),"",Z24)</f>
        <v>28</v>
      </c>
      <c r="B24" s="14" t="str">
        <f>IF(ISERROR(AA24),"",AA24)</f>
        <v>富山パレス</v>
      </c>
      <c r="C24" s="14" t="str">
        <f>ﾄｰﾅﾒﾝﾄ!D60</f>
        <v>藤野　正真</v>
      </c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  <c r="W24" s="23"/>
      <c r="Z24" s="33">
        <f>VLOOKUP(C24,ｼｰﾄﾞ!$K$6:$M$69,2,0)</f>
        <v>28</v>
      </c>
      <c r="AA24" s="33" t="str">
        <f>VLOOKUP(C24,ｼｰﾄﾞ!$K$6:$M$69,3,0)</f>
        <v>富山パレス</v>
      </c>
    </row>
    <row r="25" spans="1:27" ht="24.75" customHeight="1"/>
    <row r="26" spans="1:27" ht="20.25" customHeight="1">
      <c r="A26" s="367" t="str">
        <f>"　"&amp;名簿!$A$2</f>
        <v>　中学男子</v>
      </c>
      <c r="B26" s="367"/>
      <c r="C26" s="367"/>
      <c r="D26" s="366" t="str">
        <f>$D$1</f>
        <v>　　トーナメント対戦表</v>
      </c>
      <c r="E26" s="366"/>
      <c r="F26" s="366"/>
      <c r="G26" s="366"/>
      <c r="H26" s="366"/>
      <c r="I26" s="366"/>
      <c r="J26" s="366"/>
      <c r="K26" s="366"/>
      <c r="L26" s="366" t="str">
        <f>$L$1</f>
        <v>２回戦</v>
      </c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</row>
    <row r="27" spans="1:27" s="16" customFormat="1" ht="20.25" customHeight="1">
      <c r="A27" s="14" t="s">
        <v>43</v>
      </c>
      <c r="B27" s="14" t="s">
        <v>39</v>
      </c>
      <c r="C27" s="14" t="s">
        <v>38</v>
      </c>
      <c r="D27" s="17">
        <v>1</v>
      </c>
      <c r="E27" s="18">
        <v>2</v>
      </c>
      <c r="F27" s="18">
        <v>3</v>
      </c>
      <c r="G27" s="18">
        <v>4</v>
      </c>
      <c r="H27" s="18">
        <v>5</v>
      </c>
      <c r="I27" s="18">
        <v>6</v>
      </c>
      <c r="J27" s="18">
        <v>7</v>
      </c>
      <c r="K27" s="18">
        <v>8</v>
      </c>
      <c r="L27" s="18">
        <v>9</v>
      </c>
      <c r="M27" s="18">
        <v>10</v>
      </c>
      <c r="N27" s="18">
        <v>11</v>
      </c>
      <c r="O27" s="18">
        <v>12</v>
      </c>
      <c r="P27" s="18">
        <v>13</v>
      </c>
      <c r="Q27" s="18">
        <v>14</v>
      </c>
      <c r="R27" s="18">
        <v>15</v>
      </c>
      <c r="S27" s="18">
        <v>16</v>
      </c>
      <c r="T27" s="18">
        <v>17</v>
      </c>
      <c r="U27" s="18">
        <v>18</v>
      </c>
      <c r="V27" s="19">
        <v>19</v>
      </c>
      <c r="W27" s="14" t="s">
        <v>41</v>
      </c>
    </row>
    <row r="28" spans="1:27" ht="20.25" customHeight="1">
      <c r="A28" s="14">
        <f>IF(ISERROR(Z28),"",Z28)</f>
        <v>44</v>
      </c>
      <c r="B28" s="14" t="str">
        <f>IF(ISERROR(AA28),"",AA28)</f>
        <v>養老ＦＣ</v>
      </c>
      <c r="C28" s="14" t="str">
        <f>ﾄｰﾅﾒﾝﾄ!D66</f>
        <v>北川　虎侑</v>
      </c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2"/>
      <c r="W28" s="23"/>
      <c r="Z28" s="33">
        <f>VLOOKUP(C28,ｼｰﾄﾞ!$K$6:$M$69,2,0)</f>
        <v>44</v>
      </c>
      <c r="AA28" s="33" t="str">
        <f>VLOOKUP(C28,ｼｰﾄﾞ!$K$6:$M$69,3,0)</f>
        <v>養老ＦＣ</v>
      </c>
    </row>
    <row r="29" spans="1:27" ht="20.25" customHeight="1">
      <c r="A29" s="14">
        <f>IF(ISERROR(Z29),"",Z29)</f>
        <v>12</v>
      </c>
      <c r="B29" s="14" t="str">
        <f>IF(ISERROR(AA29),"",AA29)</f>
        <v>南箕輪わくわく</v>
      </c>
      <c r="C29" s="14" t="str">
        <f>ﾄｰﾅﾒﾝﾄ!D72</f>
        <v>保科　幸作</v>
      </c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2"/>
      <c r="W29" s="23"/>
      <c r="Z29" s="33">
        <f>VLOOKUP(C29,ｼｰﾄﾞ!$K$6:$M$69,2,0)</f>
        <v>12</v>
      </c>
      <c r="AA29" s="33" t="str">
        <f>VLOOKUP(C29,ｼｰﾄﾞ!$K$6:$M$69,3,0)</f>
        <v>南箕輪わくわく</v>
      </c>
    </row>
    <row r="30" spans="1:27" ht="24.75" customHeight="1"/>
    <row r="31" spans="1:27" ht="20.25" customHeight="1">
      <c r="A31" s="367" t="str">
        <f>"　"&amp;名簿!$A$2</f>
        <v>　中学男子</v>
      </c>
      <c r="B31" s="367"/>
      <c r="C31" s="367"/>
      <c r="D31" s="366" t="str">
        <f>$D$1</f>
        <v>　　トーナメント対戦表</v>
      </c>
      <c r="E31" s="366"/>
      <c r="F31" s="366"/>
      <c r="G31" s="366"/>
      <c r="H31" s="366"/>
      <c r="I31" s="366"/>
      <c r="J31" s="366"/>
      <c r="K31" s="366"/>
      <c r="L31" s="366" t="str">
        <f>$L$1</f>
        <v>２回戦</v>
      </c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</row>
    <row r="32" spans="1:27" s="16" customFormat="1" ht="20.25" customHeight="1">
      <c r="A32" s="14" t="s">
        <v>43</v>
      </c>
      <c r="B32" s="14" t="s">
        <v>39</v>
      </c>
      <c r="C32" s="14" t="s">
        <v>38</v>
      </c>
      <c r="D32" s="17">
        <v>1</v>
      </c>
      <c r="E32" s="18">
        <v>2</v>
      </c>
      <c r="F32" s="18">
        <v>3</v>
      </c>
      <c r="G32" s="18">
        <v>4</v>
      </c>
      <c r="H32" s="18">
        <v>5</v>
      </c>
      <c r="I32" s="18">
        <v>6</v>
      </c>
      <c r="J32" s="18">
        <v>7</v>
      </c>
      <c r="K32" s="18">
        <v>8</v>
      </c>
      <c r="L32" s="18">
        <v>9</v>
      </c>
      <c r="M32" s="18">
        <v>10</v>
      </c>
      <c r="N32" s="18">
        <v>11</v>
      </c>
      <c r="O32" s="18">
        <v>12</v>
      </c>
      <c r="P32" s="18">
        <v>13</v>
      </c>
      <c r="Q32" s="18">
        <v>14</v>
      </c>
      <c r="R32" s="18">
        <v>15</v>
      </c>
      <c r="S32" s="18">
        <v>16</v>
      </c>
      <c r="T32" s="18">
        <v>17</v>
      </c>
      <c r="U32" s="18">
        <v>18</v>
      </c>
      <c r="V32" s="19">
        <v>19</v>
      </c>
      <c r="W32" s="14" t="s">
        <v>41</v>
      </c>
    </row>
    <row r="33" spans="1:27" ht="20.25" customHeight="1">
      <c r="A33" s="14">
        <f>IF(ISERROR(Z33),"",Z33)</f>
        <v>13</v>
      </c>
      <c r="B33" s="14" t="str">
        <f>IF(ISERROR(AA33),"",AA33)</f>
        <v>はしまモア</v>
      </c>
      <c r="C33" s="14" t="str">
        <f>ﾄｰﾅﾒﾝﾄ!D78</f>
        <v>奥田　玲大</v>
      </c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2"/>
      <c r="W33" s="23"/>
      <c r="Z33" s="33">
        <f>VLOOKUP(C33,ｼｰﾄﾞ!$K$6:$M$69,2,0)</f>
        <v>13</v>
      </c>
      <c r="AA33" s="33" t="str">
        <f>VLOOKUP(C33,ｼｰﾄﾞ!$K$6:$M$69,3,0)</f>
        <v>はしまモア</v>
      </c>
    </row>
    <row r="34" spans="1:27" ht="20.25" customHeight="1">
      <c r="A34" s="14">
        <f>IF(ISERROR(Z34),"",Z34)</f>
        <v>20</v>
      </c>
      <c r="B34" s="14" t="str">
        <f>IF(ISERROR(AA34),"",AA34)</f>
        <v>アレ　フェンシング</v>
      </c>
      <c r="C34" s="14" t="str">
        <f>ﾄｰﾅﾒﾝﾄ!D84</f>
        <v>古市　直大</v>
      </c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3"/>
      <c r="Z34" s="33">
        <f>VLOOKUP(C34,ｼｰﾄﾞ!$K$6:$M$69,2,0)</f>
        <v>20</v>
      </c>
      <c r="AA34" s="33" t="str">
        <f>VLOOKUP(C34,ｼｰﾄﾞ!$K$6:$M$69,3,0)</f>
        <v>アレ　フェンシング</v>
      </c>
    </row>
    <row r="35" spans="1:27" ht="24.75" customHeight="1"/>
    <row r="36" spans="1:27" ht="20.25" customHeight="1">
      <c r="A36" s="367" t="str">
        <f>"　"&amp;名簿!$A$2</f>
        <v>　中学男子</v>
      </c>
      <c r="B36" s="367"/>
      <c r="C36" s="367"/>
      <c r="D36" s="366" t="str">
        <f>$D$1</f>
        <v>　　トーナメント対戦表</v>
      </c>
      <c r="E36" s="366"/>
      <c r="F36" s="366"/>
      <c r="G36" s="366"/>
      <c r="H36" s="366"/>
      <c r="I36" s="366"/>
      <c r="J36" s="366"/>
      <c r="K36" s="366"/>
      <c r="L36" s="366" t="str">
        <f>$L$1</f>
        <v>２回戦</v>
      </c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</row>
    <row r="37" spans="1:27" s="16" customFormat="1" ht="20.25" customHeight="1">
      <c r="A37" s="14" t="s">
        <v>43</v>
      </c>
      <c r="B37" s="14" t="s">
        <v>39</v>
      </c>
      <c r="C37" s="14" t="s">
        <v>38</v>
      </c>
      <c r="D37" s="17">
        <v>1</v>
      </c>
      <c r="E37" s="18">
        <v>2</v>
      </c>
      <c r="F37" s="18">
        <v>3</v>
      </c>
      <c r="G37" s="18">
        <v>4</v>
      </c>
      <c r="H37" s="18">
        <v>5</v>
      </c>
      <c r="I37" s="18">
        <v>6</v>
      </c>
      <c r="J37" s="18">
        <v>7</v>
      </c>
      <c r="K37" s="18">
        <v>8</v>
      </c>
      <c r="L37" s="18">
        <v>9</v>
      </c>
      <c r="M37" s="18">
        <v>10</v>
      </c>
      <c r="N37" s="18">
        <v>11</v>
      </c>
      <c r="O37" s="18">
        <v>12</v>
      </c>
      <c r="P37" s="18">
        <v>13</v>
      </c>
      <c r="Q37" s="18">
        <v>14</v>
      </c>
      <c r="R37" s="18">
        <v>15</v>
      </c>
      <c r="S37" s="18">
        <v>16</v>
      </c>
      <c r="T37" s="18">
        <v>17</v>
      </c>
      <c r="U37" s="18">
        <v>18</v>
      </c>
      <c r="V37" s="19">
        <v>19</v>
      </c>
      <c r="W37" s="14" t="s">
        <v>41</v>
      </c>
    </row>
    <row r="38" spans="1:27" ht="20.25" customHeight="1">
      <c r="A38" s="14">
        <f>IF(ISERROR(Z38),"",Z38)</f>
        <v>29</v>
      </c>
      <c r="B38" s="14" t="str">
        <f>IF(ISERROR(AA38),"",AA38)</f>
        <v>富山パレス</v>
      </c>
      <c r="C38" s="14" t="str">
        <f>ﾄｰﾅﾒﾝﾄ!D90</f>
        <v>篠田　真吾</v>
      </c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3"/>
      <c r="Z38" s="33">
        <f>VLOOKUP(C38,ｼｰﾄﾞ!$K$6:$M$69,2,0)</f>
        <v>29</v>
      </c>
      <c r="AA38" s="33" t="str">
        <f>VLOOKUP(C38,ｼｰﾄﾞ!$K$6:$M$69,3,0)</f>
        <v>富山パレス</v>
      </c>
    </row>
    <row r="39" spans="1:27" ht="20.25" customHeight="1">
      <c r="A39" s="14">
        <f>IF(ISERROR(Z39),"",Z39)</f>
        <v>4</v>
      </c>
      <c r="B39" s="14" t="str">
        <f>IF(ISERROR(AA39),"",AA39)</f>
        <v>ワセダクラブ</v>
      </c>
      <c r="C39" s="14" t="str">
        <f>ﾄｰﾅﾒﾝﾄ!D96</f>
        <v>鈴木　統吾</v>
      </c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3"/>
      <c r="Z39" s="33">
        <f>VLOOKUP(C39,ｼｰﾄﾞ!$K$6:$M$69,2,0)</f>
        <v>4</v>
      </c>
      <c r="AA39" s="33" t="str">
        <f>VLOOKUP(C39,ｼｰﾄﾞ!$K$6:$M$69,3,0)</f>
        <v>ワセダクラブ</v>
      </c>
    </row>
    <row r="40" spans="1:27" ht="20.25" customHeight="1">
      <c r="A40" s="367" t="str">
        <f>"　"&amp;名簿!$A$2</f>
        <v>　中学男子</v>
      </c>
      <c r="B40" s="367"/>
      <c r="C40" s="367"/>
      <c r="D40" s="366" t="str">
        <f>$D$1</f>
        <v>　　トーナメント対戦表</v>
      </c>
      <c r="E40" s="366"/>
      <c r="F40" s="366"/>
      <c r="G40" s="366"/>
      <c r="H40" s="366"/>
      <c r="I40" s="366"/>
      <c r="J40" s="366"/>
      <c r="K40" s="366"/>
      <c r="L40" s="366" t="str">
        <f>$L$1</f>
        <v>２回戦</v>
      </c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</row>
    <row r="41" spans="1:27" s="16" customFormat="1" ht="20.25" customHeight="1">
      <c r="A41" s="14" t="s">
        <v>43</v>
      </c>
      <c r="B41" s="14" t="s">
        <v>39</v>
      </c>
      <c r="C41" s="14" t="s">
        <v>38</v>
      </c>
      <c r="D41" s="17">
        <v>1</v>
      </c>
      <c r="E41" s="18">
        <v>2</v>
      </c>
      <c r="F41" s="18">
        <v>3</v>
      </c>
      <c r="G41" s="18">
        <v>4</v>
      </c>
      <c r="H41" s="18">
        <v>5</v>
      </c>
      <c r="I41" s="18">
        <v>6</v>
      </c>
      <c r="J41" s="18">
        <v>7</v>
      </c>
      <c r="K41" s="18">
        <v>8</v>
      </c>
      <c r="L41" s="18">
        <v>9</v>
      </c>
      <c r="M41" s="18">
        <v>10</v>
      </c>
      <c r="N41" s="18">
        <v>11</v>
      </c>
      <c r="O41" s="18">
        <v>12</v>
      </c>
      <c r="P41" s="18">
        <v>13</v>
      </c>
      <c r="Q41" s="18">
        <v>14</v>
      </c>
      <c r="R41" s="18">
        <v>15</v>
      </c>
      <c r="S41" s="18">
        <v>16</v>
      </c>
      <c r="T41" s="18">
        <v>17</v>
      </c>
      <c r="U41" s="18">
        <v>18</v>
      </c>
      <c r="V41" s="19">
        <v>19</v>
      </c>
      <c r="W41" s="14" t="s">
        <v>41</v>
      </c>
    </row>
    <row r="42" spans="1:27" ht="20.25" customHeight="1">
      <c r="A42" s="14">
        <f>IF(ISERROR(Z42),"",Z42)</f>
        <v>3</v>
      </c>
      <c r="B42" s="14" t="str">
        <f>IF(ISERROR(AA42),"",AA42)</f>
        <v>はしまモア</v>
      </c>
      <c r="C42" s="14" t="str">
        <f>ﾄｰﾅﾒﾝﾄ!D102</f>
        <v>田内　稜大</v>
      </c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3"/>
      <c r="Z42" s="33">
        <f>VLOOKUP(C42,ｼｰﾄﾞ!$K$6:$M$69,2,0)</f>
        <v>3</v>
      </c>
      <c r="AA42" s="33" t="str">
        <f>VLOOKUP(C42,ｼｰﾄﾞ!$K$6:$M$69,3,0)</f>
        <v>はしまモア</v>
      </c>
    </row>
    <row r="43" spans="1:27" ht="20.25" customHeight="1">
      <c r="A43" s="14">
        <f>IF(ISERROR(Z43),"",Z43)</f>
        <v>35</v>
      </c>
      <c r="B43" s="14" t="str">
        <f>IF(ISERROR(AA43),"",AA43)</f>
        <v>速星中学校</v>
      </c>
      <c r="C43" s="14" t="str">
        <f>ﾄｰﾅﾒﾝﾄ!D108</f>
        <v>山岸　凜生</v>
      </c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2"/>
      <c r="W43" s="23"/>
      <c r="Z43" s="33">
        <f>VLOOKUP(C43,ｼｰﾄﾞ!$K$6:$M$69,2,0)</f>
        <v>35</v>
      </c>
      <c r="AA43" s="33" t="str">
        <f>VLOOKUP(C43,ｼｰﾄﾞ!$K$6:$M$69,3,0)</f>
        <v>速星中学校</v>
      </c>
    </row>
    <row r="44" spans="1:27" ht="24.75" customHeight="1"/>
    <row r="45" spans="1:27" ht="20.25" customHeight="1">
      <c r="A45" s="367" t="str">
        <f>"　"&amp;名簿!$A$2</f>
        <v>　中学男子</v>
      </c>
      <c r="B45" s="367"/>
      <c r="C45" s="367"/>
      <c r="D45" s="366" t="str">
        <f>$D$1</f>
        <v>　　トーナメント対戦表</v>
      </c>
      <c r="E45" s="366"/>
      <c r="F45" s="366"/>
      <c r="G45" s="366"/>
      <c r="H45" s="366"/>
      <c r="I45" s="366"/>
      <c r="J45" s="366"/>
      <c r="K45" s="366"/>
      <c r="L45" s="366" t="str">
        <f>$L$1</f>
        <v>２回戦</v>
      </c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</row>
    <row r="46" spans="1:27" s="16" customFormat="1" ht="20.25" customHeight="1">
      <c r="A46" s="14" t="s">
        <v>43</v>
      </c>
      <c r="B46" s="14" t="s">
        <v>39</v>
      </c>
      <c r="C46" s="14" t="s">
        <v>38</v>
      </c>
      <c r="D46" s="17">
        <v>1</v>
      </c>
      <c r="E46" s="18">
        <v>2</v>
      </c>
      <c r="F46" s="18">
        <v>3</v>
      </c>
      <c r="G46" s="18">
        <v>4</v>
      </c>
      <c r="H46" s="18">
        <v>5</v>
      </c>
      <c r="I46" s="18">
        <v>6</v>
      </c>
      <c r="J46" s="18">
        <v>7</v>
      </c>
      <c r="K46" s="18">
        <v>8</v>
      </c>
      <c r="L46" s="18">
        <v>9</v>
      </c>
      <c r="M46" s="18">
        <v>10</v>
      </c>
      <c r="N46" s="18">
        <v>11</v>
      </c>
      <c r="O46" s="18">
        <v>12</v>
      </c>
      <c r="P46" s="18">
        <v>13</v>
      </c>
      <c r="Q46" s="18">
        <v>14</v>
      </c>
      <c r="R46" s="18">
        <v>15</v>
      </c>
      <c r="S46" s="18">
        <v>16</v>
      </c>
      <c r="T46" s="18">
        <v>17</v>
      </c>
      <c r="U46" s="18">
        <v>18</v>
      </c>
      <c r="V46" s="19">
        <v>19</v>
      </c>
      <c r="W46" s="14" t="s">
        <v>41</v>
      </c>
    </row>
    <row r="47" spans="1:27" ht="20.25" customHeight="1">
      <c r="A47" s="14">
        <f>IF(ISERROR(Z47),"",Z47)</f>
        <v>19</v>
      </c>
      <c r="B47" s="14" t="str">
        <f>IF(ISERROR(AA47),"",AA47)</f>
        <v>横浜フェンサーズ</v>
      </c>
      <c r="C47" s="14" t="str">
        <f>ﾄｰﾅﾒﾝﾄ!D114</f>
        <v>柳原　健二郎</v>
      </c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2"/>
      <c r="W47" s="23"/>
      <c r="Z47" s="33">
        <f>VLOOKUP(C47,ｼｰﾄﾞ!$K$6:$M$69,2,0)</f>
        <v>19</v>
      </c>
      <c r="AA47" s="33" t="str">
        <f>VLOOKUP(C47,ｼｰﾄﾞ!$K$6:$M$69,3,0)</f>
        <v>横浜フェンサーズ</v>
      </c>
    </row>
    <row r="48" spans="1:27" ht="20.25" customHeight="1">
      <c r="A48" s="14">
        <f>IF(ISERROR(Z48),"",Z48)</f>
        <v>14</v>
      </c>
      <c r="B48" s="14" t="str">
        <f>IF(ISERROR(AA48),"",AA48)</f>
        <v>長野ジュニア</v>
      </c>
      <c r="C48" s="14" t="str">
        <f>ﾄｰﾅﾒﾝﾄ!D120</f>
        <v>杉岡　瑞基</v>
      </c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2"/>
      <c r="W48" s="23"/>
      <c r="Z48" s="33">
        <f>VLOOKUP(C48,ｼｰﾄﾞ!$K$6:$M$69,2,0)</f>
        <v>14</v>
      </c>
      <c r="AA48" s="33" t="str">
        <f>VLOOKUP(C48,ｼｰﾄﾞ!$K$6:$M$69,3,0)</f>
        <v>長野ジュニア</v>
      </c>
    </row>
    <row r="49" spans="1:27" ht="24.75" customHeight="1"/>
    <row r="50" spans="1:27" ht="20.25" customHeight="1">
      <c r="A50" s="367" t="str">
        <f>"　"&amp;名簿!$A$2</f>
        <v>　中学男子</v>
      </c>
      <c r="B50" s="367"/>
      <c r="C50" s="367"/>
      <c r="D50" s="366" t="str">
        <f>$D$1</f>
        <v>　　トーナメント対戦表</v>
      </c>
      <c r="E50" s="366"/>
      <c r="F50" s="366"/>
      <c r="G50" s="366"/>
      <c r="H50" s="366"/>
      <c r="I50" s="366"/>
      <c r="J50" s="366"/>
      <c r="K50" s="366"/>
      <c r="L50" s="366" t="str">
        <f>$L$1</f>
        <v>２回戦</v>
      </c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</row>
    <row r="51" spans="1:27" s="16" customFormat="1" ht="20.25" customHeight="1">
      <c r="A51" s="14" t="s">
        <v>43</v>
      </c>
      <c r="B51" s="14" t="s">
        <v>39</v>
      </c>
      <c r="C51" s="14" t="s">
        <v>38</v>
      </c>
      <c r="D51" s="17">
        <v>1</v>
      </c>
      <c r="E51" s="18">
        <v>2</v>
      </c>
      <c r="F51" s="18">
        <v>3</v>
      </c>
      <c r="G51" s="18">
        <v>4</v>
      </c>
      <c r="H51" s="18">
        <v>5</v>
      </c>
      <c r="I51" s="18">
        <v>6</v>
      </c>
      <c r="J51" s="18">
        <v>7</v>
      </c>
      <c r="K51" s="18">
        <v>8</v>
      </c>
      <c r="L51" s="18">
        <v>9</v>
      </c>
      <c r="M51" s="18">
        <v>10</v>
      </c>
      <c r="N51" s="18">
        <v>11</v>
      </c>
      <c r="O51" s="18">
        <v>12</v>
      </c>
      <c r="P51" s="18">
        <v>13</v>
      </c>
      <c r="Q51" s="18">
        <v>14</v>
      </c>
      <c r="R51" s="18">
        <v>15</v>
      </c>
      <c r="S51" s="18">
        <v>16</v>
      </c>
      <c r="T51" s="18">
        <v>17</v>
      </c>
      <c r="U51" s="18">
        <v>18</v>
      </c>
      <c r="V51" s="19">
        <v>19</v>
      </c>
      <c r="W51" s="14" t="s">
        <v>41</v>
      </c>
    </row>
    <row r="52" spans="1:27" ht="20.25" customHeight="1">
      <c r="A52" s="14">
        <f>IF(ISERROR(Z52),"",Z52)</f>
        <v>11</v>
      </c>
      <c r="B52" s="14" t="str">
        <f>IF(ISERROR(AA52),"",AA52)</f>
        <v>杉並ジュニア</v>
      </c>
      <c r="C52" s="14" t="str">
        <f>ﾄｰﾅﾒﾝﾄ!D126</f>
        <v>山﨑　貴史</v>
      </c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2"/>
      <c r="W52" s="23"/>
      <c r="Z52" s="33">
        <f>VLOOKUP(C52,ｼｰﾄﾞ!$K$6:$M$69,2,0)</f>
        <v>11</v>
      </c>
      <c r="AA52" s="33" t="str">
        <f>VLOOKUP(C52,ｼｰﾄﾞ!$K$6:$M$69,3,0)</f>
        <v>杉並ジュニア</v>
      </c>
    </row>
    <row r="53" spans="1:27" ht="20.25" customHeight="1">
      <c r="A53" s="14">
        <f>IF(ISERROR(Z53),"",Z53)</f>
        <v>22</v>
      </c>
      <c r="B53" s="14" t="str">
        <f>IF(ISERROR(AA53),"",AA53)</f>
        <v>箕輪中学校</v>
      </c>
      <c r="C53" s="14" t="str">
        <f>ﾄｰﾅﾒﾝﾄ!D132</f>
        <v>中村　健人</v>
      </c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2"/>
      <c r="W53" s="23"/>
      <c r="Z53" s="33">
        <f>VLOOKUP(C53,ｼｰﾄﾞ!$K$6:$M$69,2,0)</f>
        <v>22</v>
      </c>
      <c r="AA53" s="33" t="str">
        <f>VLOOKUP(C53,ｼｰﾄﾞ!$K$6:$M$69,3,0)</f>
        <v>箕輪中学校</v>
      </c>
    </row>
    <row r="54" spans="1:27" ht="24.75" customHeight="1"/>
    <row r="55" spans="1:27" ht="20.25" customHeight="1">
      <c r="A55" s="367" t="str">
        <f>"　"&amp;名簿!$A$2</f>
        <v>　中学男子</v>
      </c>
      <c r="B55" s="367"/>
      <c r="C55" s="367"/>
      <c r="D55" s="366" t="str">
        <f>$D$1</f>
        <v>　　トーナメント対戦表</v>
      </c>
      <c r="E55" s="366"/>
      <c r="F55" s="366"/>
      <c r="G55" s="366"/>
      <c r="H55" s="366"/>
      <c r="I55" s="366"/>
      <c r="J55" s="366"/>
      <c r="K55" s="366"/>
      <c r="L55" s="366" t="str">
        <f>$L$1</f>
        <v>２回戦</v>
      </c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</row>
    <row r="56" spans="1:27" s="16" customFormat="1" ht="20.25" customHeight="1">
      <c r="A56" s="14" t="s">
        <v>43</v>
      </c>
      <c r="B56" s="14" t="s">
        <v>39</v>
      </c>
      <c r="C56" s="14" t="s">
        <v>38</v>
      </c>
      <c r="D56" s="17">
        <v>1</v>
      </c>
      <c r="E56" s="18">
        <v>2</v>
      </c>
      <c r="F56" s="18">
        <v>3</v>
      </c>
      <c r="G56" s="18">
        <v>4</v>
      </c>
      <c r="H56" s="18">
        <v>5</v>
      </c>
      <c r="I56" s="18">
        <v>6</v>
      </c>
      <c r="J56" s="18">
        <v>7</v>
      </c>
      <c r="K56" s="18">
        <v>8</v>
      </c>
      <c r="L56" s="18">
        <v>9</v>
      </c>
      <c r="M56" s="18">
        <v>10</v>
      </c>
      <c r="N56" s="18">
        <v>11</v>
      </c>
      <c r="O56" s="18">
        <v>12</v>
      </c>
      <c r="P56" s="18">
        <v>13</v>
      </c>
      <c r="Q56" s="18">
        <v>14</v>
      </c>
      <c r="R56" s="18">
        <v>15</v>
      </c>
      <c r="S56" s="18">
        <v>16</v>
      </c>
      <c r="T56" s="18">
        <v>17</v>
      </c>
      <c r="U56" s="18">
        <v>18</v>
      </c>
      <c r="V56" s="19">
        <v>19</v>
      </c>
      <c r="W56" s="14" t="s">
        <v>41</v>
      </c>
    </row>
    <row r="57" spans="1:27" ht="20.25" customHeight="1">
      <c r="A57" s="14">
        <f>IF(ISERROR(Z57),"",Z57)</f>
        <v>38</v>
      </c>
      <c r="B57" s="14" t="str">
        <f>IF(ISERROR(AA57),"",AA57)</f>
        <v>愛工大付属</v>
      </c>
      <c r="C57" s="14" t="str">
        <f>ﾄｰﾅﾒﾝﾄ!D138</f>
        <v>山口　倫生</v>
      </c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2"/>
      <c r="W57" s="23"/>
      <c r="Z57" s="33">
        <f>VLOOKUP(C57,ｼｰﾄﾞ!$K$6:$M$69,2,0)</f>
        <v>38</v>
      </c>
      <c r="AA57" s="33" t="str">
        <f>VLOOKUP(C57,ｼｰﾄﾞ!$K$6:$M$69,3,0)</f>
        <v>愛工大付属</v>
      </c>
    </row>
    <row r="58" spans="1:27" ht="20.25" customHeight="1">
      <c r="A58" s="14">
        <f>IF(ISERROR(Z58),"",Z58)</f>
        <v>6</v>
      </c>
      <c r="B58" s="14" t="str">
        <f>IF(ISERROR(AA58),"",AA58)</f>
        <v>はしまモア</v>
      </c>
      <c r="C58" s="14" t="str">
        <f>ﾄｰﾅﾒﾝﾄ!D144</f>
        <v>河村　一摩</v>
      </c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2"/>
      <c r="W58" s="23"/>
      <c r="Z58" s="33">
        <f>VLOOKUP(C58,ｼｰﾄﾞ!$K$6:$M$69,2,0)</f>
        <v>6</v>
      </c>
      <c r="AA58" s="33" t="str">
        <f>VLOOKUP(C58,ｼｰﾄﾞ!$K$6:$M$69,3,0)</f>
        <v>はしまモア</v>
      </c>
    </row>
    <row r="59" spans="1:27" ht="24.75" customHeight="1"/>
    <row r="60" spans="1:27" ht="20.25" customHeight="1">
      <c r="A60" s="367" t="str">
        <f>"　"&amp;名簿!$A$2</f>
        <v>　中学男子</v>
      </c>
      <c r="B60" s="367"/>
      <c r="C60" s="367"/>
      <c r="D60" s="366" t="str">
        <f>$D$1</f>
        <v>　　トーナメント対戦表</v>
      </c>
      <c r="E60" s="366"/>
      <c r="F60" s="366"/>
      <c r="G60" s="366"/>
      <c r="H60" s="366"/>
      <c r="I60" s="366"/>
      <c r="J60" s="366"/>
      <c r="K60" s="366"/>
      <c r="L60" s="366" t="str">
        <f>$L$1</f>
        <v>２回戦</v>
      </c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</row>
    <row r="61" spans="1:27" s="16" customFormat="1" ht="20.25" customHeight="1">
      <c r="A61" s="14" t="s">
        <v>43</v>
      </c>
      <c r="B61" s="14" t="s">
        <v>39</v>
      </c>
      <c r="C61" s="14" t="s">
        <v>38</v>
      </c>
      <c r="D61" s="17">
        <v>1</v>
      </c>
      <c r="E61" s="18">
        <v>2</v>
      </c>
      <c r="F61" s="18">
        <v>3</v>
      </c>
      <c r="G61" s="18">
        <v>4</v>
      </c>
      <c r="H61" s="18">
        <v>5</v>
      </c>
      <c r="I61" s="18">
        <v>6</v>
      </c>
      <c r="J61" s="18">
        <v>7</v>
      </c>
      <c r="K61" s="18">
        <v>8</v>
      </c>
      <c r="L61" s="18">
        <v>9</v>
      </c>
      <c r="M61" s="18">
        <v>10</v>
      </c>
      <c r="N61" s="18">
        <v>11</v>
      </c>
      <c r="O61" s="18">
        <v>12</v>
      </c>
      <c r="P61" s="18">
        <v>13</v>
      </c>
      <c r="Q61" s="18">
        <v>14</v>
      </c>
      <c r="R61" s="18">
        <v>15</v>
      </c>
      <c r="S61" s="18">
        <v>16</v>
      </c>
      <c r="T61" s="18">
        <v>17</v>
      </c>
      <c r="U61" s="18">
        <v>18</v>
      </c>
      <c r="V61" s="19">
        <v>19</v>
      </c>
      <c r="W61" s="14" t="s">
        <v>41</v>
      </c>
    </row>
    <row r="62" spans="1:27" ht="20.25" customHeight="1">
      <c r="A62" s="14">
        <f>IF(ISERROR(Z62),"",Z62)</f>
        <v>7</v>
      </c>
      <c r="B62" s="14" t="str">
        <f>IF(ISERROR(AA62),"",AA62)</f>
        <v>光が丘フェンシング</v>
      </c>
      <c r="C62" s="14" t="str">
        <f>ﾄｰﾅﾒﾝﾄ!D150</f>
        <v>黒澤　塁</v>
      </c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2"/>
      <c r="W62" s="23"/>
      <c r="Z62" s="33">
        <f>VLOOKUP(C62,ｼｰﾄﾞ!$K$6:$M$69,2,0)</f>
        <v>7</v>
      </c>
      <c r="AA62" s="33" t="str">
        <f>VLOOKUP(C62,ｼｰﾄﾞ!$K$6:$M$69,3,0)</f>
        <v>光が丘フェンシング</v>
      </c>
    </row>
    <row r="63" spans="1:27" ht="20.25" customHeight="1">
      <c r="A63" s="14">
        <f>IF(ISERROR(Z63),"",Z63)</f>
        <v>26</v>
      </c>
      <c r="B63" s="14" t="str">
        <f>IF(ISERROR(AA63),"",AA63)</f>
        <v>滋賀ＪＦＣ</v>
      </c>
      <c r="C63" s="14" t="str">
        <f>ﾄｰﾅﾒﾝﾄ!D156</f>
        <v>白川　柊毅</v>
      </c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2"/>
      <c r="W63" s="23"/>
      <c r="Z63" s="33">
        <f>VLOOKUP(C63,ｼｰﾄﾞ!$K$6:$M$69,2,0)</f>
        <v>26</v>
      </c>
      <c r="AA63" s="33" t="str">
        <f>VLOOKUP(C63,ｼｰﾄﾞ!$K$6:$M$69,3,0)</f>
        <v>滋賀ＪＦＣ</v>
      </c>
    </row>
    <row r="64" spans="1:27" ht="24.75" customHeight="1"/>
    <row r="65" spans="1:27" ht="20.25" customHeight="1">
      <c r="A65" s="367" t="str">
        <f>"　"&amp;名簿!$A$2</f>
        <v>　中学男子</v>
      </c>
      <c r="B65" s="367"/>
      <c r="C65" s="367"/>
      <c r="D65" s="366" t="str">
        <f>$D$1</f>
        <v>　　トーナメント対戦表</v>
      </c>
      <c r="E65" s="366"/>
      <c r="F65" s="366"/>
      <c r="G65" s="366"/>
      <c r="H65" s="366"/>
      <c r="I65" s="366"/>
      <c r="J65" s="366"/>
      <c r="K65" s="366"/>
      <c r="L65" s="366" t="str">
        <f>$L$1</f>
        <v>２回戦</v>
      </c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</row>
    <row r="66" spans="1:27" s="16" customFormat="1" ht="20.25" customHeight="1">
      <c r="A66" s="14" t="s">
        <v>43</v>
      </c>
      <c r="B66" s="14" t="s">
        <v>39</v>
      </c>
      <c r="C66" s="14" t="s">
        <v>38</v>
      </c>
      <c r="D66" s="17">
        <v>1</v>
      </c>
      <c r="E66" s="18">
        <v>2</v>
      </c>
      <c r="F66" s="18">
        <v>3</v>
      </c>
      <c r="G66" s="18">
        <v>4</v>
      </c>
      <c r="H66" s="18">
        <v>5</v>
      </c>
      <c r="I66" s="18">
        <v>6</v>
      </c>
      <c r="J66" s="18">
        <v>7</v>
      </c>
      <c r="K66" s="18">
        <v>8</v>
      </c>
      <c r="L66" s="18">
        <v>9</v>
      </c>
      <c r="M66" s="18">
        <v>10</v>
      </c>
      <c r="N66" s="18">
        <v>11</v>
      </c>
      <c r="O66" s="18">
        <v>12</v>
      </c>
      <c r="P66" s="18">
        <v>13</v>
      </c>
      <c r="Q66" s="18">
        <v>14</v>
      </c>
      <c r="R66" s="18">
        <v>15</v>
      </c>
      <c r="S66" s="18">
        <v>16</v>
      </c>
      <c r="T66" s="18">
        <v>17</v>
      </c>
      <c r="U66" s="18">
        <v>18</v>
      </c>
      <c r="V66" s="19">
        <v>19</v>
      </c>
      <c r="W66" s="14" t="s">
        <v>41</v>
      </c>
    </row>
    <row r="67" spans="1:27" ht="20.25" customHeight="1">
      <c r="A67" s="14">
        <f>IF(ISERROR(Z67),"",Z67)</f>
        <v>23</v>
      </c>
      <c r="B67" s="14" t="str">
        <f>IF(ISERROR(AA67),"",AA67)</f>
        <v>婦中ＪＦＣ</v>
      </c>
      <c r="C67" s="14" t="str">
        <f>ﾄｰﾅﾒﾝﾄ!D162</f>
        <v>横山　慶汰</v>
      </c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2"/>
      <c r="W67" s="23"/>
      <c r="Z67" s="33">
        <f>VLOOKUP(C67,ｼｰﾄﾞ!$K$6:$M$69,2,0)</f>
        <v>23</v>
      </c>
      <c r="AA67" s="33" t="str">
        <f>VLOOKUP(C67,ｼｰﾄﾞ!$K$6:$M$69,3,0)</f>
        <v>婦中ＪＦＣ</v>
      </c>
    </row>
    <row r="68" spans="1:27" ht="20.25" customHeight="1">
      <c r="A68" s="14">
        <f>IF(ISERROR(Z68),"",Z68)</f>
        <v>10</v>
      </c>
      <c r="B68" s="14" t="str">
        <f>IF(ISERROR(AA68),"",AA68)</f>
        <v>河南町フェンシング</v>
      </c>
      <c r="C68" s="14" t="str">
        <f>ﾄｰﾅﾒﾝﾄ!D168</f>
        <v>菊元　雪</v>
      </c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2"/>
      <c r="W68" s="23"/>
      <c r="Z68" s="33">
        <f>VLOOKUP(C68,ｼｰﾄﾞ!$K$6:$M$69,2,0)</f>
        <v>10</v>
      </c>
      <c r="AA68" s="33" t="str">
        <f>VLOOKUP(C68,ｼｰﾄﾞ!$K$6:$M$69,3,0)</f>
        <v>河南町フェンシング</v>
      </c>
    </row>
    <row r="69" spans="1:27" ht="24.75" customHeight="1"/>
    <row r="70" spans="1:27" ht="20.25" customHeight="1">
      <c r="A70" s="367" t="str">
        <f>"　"&amp;名簿!$A$2</f>
        <v>　中学男子</v>
      </c>
      <c r="B70" s="367"/>
      <c r="C70" s="367"/>
      <c r="D70" s="366" t="str">
        <f>$D$1</f>
        <v>　　トーナメント対戦表</v>
      </c>
      <c r="E70" s="366"/>
      <c r="F70" s="366"/>
      <c r="G70" s="366"/>
      <c r="H70" s="366"/>
      <c r="I70" s="366"/>
      <c r="J70" s="366"/>
      <c r="K70" s="366"/>
      <c r="L70" s="366" t="str">
        <f>$L$1</f>
        <v>２回戦</v>
      </c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</row>
    <row r="71" spans="1:27" s="16" customFormat="1" ht="20.25" customHeight="1">
      <c r="A71" s="14" t="s">
        <v>43</v>
      </c>
      <c r="B71" s="14" t="s">
        <v>39</v>
      </c>
      <c r="C71" s="14" t="s">
        <v>38</v>
      </c>
      <c r="D71" s="17">
        <v>1</v>
      </c>
      <c r="E71" s="18">
        <v>2</v>
      </c>
      <c r="F71" s="18">
        <v>3</v>
      </c>
      <c r="G71" s="18">
        <v>4</v>
      </c>
      <c r="H71" s="18">
        <v>5</v>
      </c>
      <c r="I71" s="18">
        <v>6</v>
      </c>
      <c r="J71" s="18">
        <v>7</v>
      </c>
      <c r="K71" s="18">
        <v>8</v>
      </c>
      <c r="L71" s="18">
        <v>9</v>
      </c>
      <c r="M71" s="18">
        <v>10</v>
      </c>
      <c r="N71" s="18">
        <v>11</v>
      </c>
      <c r="O71" s="18">
        <v>12</v>
      </c>
      <c r="P71" s="18">
        <v>13</v>
      </c>
      <c r="Q71" s="18">
        <v>14</v>
      </c>
      <c r="R71" s="18">
        <v>15</v>
      </c>
      <c r="S71" s="18">
        <v>16</v>
      </c>
      <c r="T71" s="18">
        <v>17</v>
      </c>
      <c r="U71" s="18">
        <v>18</v>
      </c>
      <c r="V71" s="19">
        <v>19</v>
      </c>
      <c r="W71" s="14" t="s">
        <v>41</v>
      </c>
    </row>
    <row r="72" spans="1:27" ht="20.25" customHeight="1">
      <c r="A72" s="14">
        <f>IF(ISERROR(Z72),"",Z72)</f>
        <v>15</v>
      </c>
      <c r="B72" s="14" t="str">
        <f>IF(ISERROR(AA72),"",AA72)</f>
        <v>箕輪中学校</v>
      </c>
      <c r="C72" s="14" t="str">
        <f>ﾄｰﾅﾒﾝﾄ!D174</f>
        <v>中村　駿太</v>
      </c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2"/>
      <c r="W72" s="23"/>
      <c r="Z72" s="33">
        <f>VLOOKUP(C72,ｼｰﾄﾞ!$K$6:$M$69,2,0)</f>
        <v>15</v>
      </c>
      <c r="AA72" s="33" t="str">
        <f>VLOOKUP(C72,ｼｰﾄﾞ!$K$6:$M$69,3,0)</f>
        <v>箕輪中学校</v>
      </c>
    </row>
    <row r="73" spans="1:27" ht="20.25" customHeight="1">
      <c r="A73" s="14">
        <f>IF(ISERROR(Z73),"",Z73)</f>
        <v>18</v>
      </c>
      <c r="B73" s="14" t="str">
        <f>IF(ISERROR(AA73),"",AA73)</f>
        <v>ワセダクラブ</v>
      </c>
      <c r="C73" s="14" t="str">
        <f>ﾄｰﾅﾒﾝﾄ!D180</f>
        <v>林　祥太郎</v>
      </c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2"/>
      <c r="W73" s="23"/>
      <c r="Z73" s="33">
        <f>VLOOKUP(C73,ｼｰﾄﾞ!$K$6:$M$69,2,0)</f>
        <v>18</v>
      </c>
      <c r="AA73" s="33" t="str">
        <f>VLOOKUP(C73,ｼｰﾄﾞ!$K$6:$M$69,3,0)</f>
        <v>ワセダクラブ</v>
      </c>
    </row>
    <row r="74" spans="1:27" ht="24.75" customHeight="1"/>
    <row r="75" spans="1:27" ht="20.25" customHeight="1">
      <c r="A75" s="367" t="str">
        <f>"　"&amp;名簿!$A$2</f>
        <v>　中学男子</v>
      </c>
      <c r="B75" s="367"/>
      <c r="C75" s="367"/>
      <c r="D75" s="366" t="str">
        <f>$D$1</f>
        <v>　　トーナメント対戦表</v>
      </c>
      <c r="E75" s="366"/>
      <c r="F75" s="366"/>
      <c r="G75" s="366"/>
      <c r="H75" s="366"/>
      <c r="I75" s="366"/>
      <c r="J75" s="366"/>
      <c r="K75" s="366"/>
      <c r="L75" s="366" t="str">
        <f>$L$1</f>
        <v>２回戦</v>
      </c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</row>
    <row r="76" spans="1:27" s="16" customFormat="1" ht="20.25" customHeight="1">
      <c r="A76" s="14" t="s">
        <v>43</v>
      </c>
      <c r="B76" s="14" t="s">
        <v>39</v>
      </c>
      <c r="C76" s="14" t="s">
        <v>38</v>
      </c>
      <c r="D76" s="17">
        <v>1</v>
      </c>
      <c r="E76" s="18">
        <v>2</v>
      </c>
      <c r="F76" s="18">
        <v>3</v>
      </c>
      <c r="G76" s="18">
        <v>4</v>
      </c>
      <c r="H76" s="18">
        <v>5</v>
      </c>
      <c r="I76" s="18">
        <v>6</v>
      </c>
      <c r="J76" s="18">
        <v>7</v>
      </c>
      <c r="K76" s="18">
        <v>8</v>
      </c>
      <c r="L76" s="18">
        <v>9</v>
      </c>
      <c r="M76" s="18">
        <v>10</v>
      </c>
      <c r="N76" s="18">
        <v>11</v>
      </c>
      <c r="O76" s="18">
        <v>12</v>
      </c>
      <c r="P76" s="18">
        <v>13</v>
      </c>
      <c r="Q76" s="18">
        <v>14</v>
      </c>
      <c r="R76" s="18">
        <v>15</v>
      </c>
      <c r="S76" s="18">
        <v>16</v>
      </c>
      <c r="T76" s="18">
        <v>17</v>
      </c>
      <c r="U76" s="18">
        <v>18</v>
      </c>
      <c r="V76" s="19">
        <v>19</v>
      </c>
      <c r="W76" s="14" t="s">
        <v>41</v>
      </c>
    </row>
    <row r="77" spans="1:27" ht="20.25" customHeight="1">
      <c r="A77" s="14">
        <f>IF(ISERROR(Z77),"",Z77)</f>
        <v>34</v>
      </c>
      <c r="B77" s="14" t="str">
        <f>IF(ISERROR(AA77),"",AA77)</f>
        <v>はしまモア</v>
      </c>
      <c r="C77" s="14" t="str">
        <f>ﾄｰﾅﾒﾝﾄ!D186</f>
        <v>大橋　拓叶</v>
      </c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2"/>
      <c r="W77" s="23"/>
      <c r="Z77" s="33">
        <f>VLOOKUP(C77,ｼｰﾄﾞ!$K$6:$M$69,2,0)</f>
        <v>34</v>
      </c>
      <c r="AA77" s="33" t="str">
        <f>VLOOKUP(C77,ｼｰﾄﾞ!$K$6:$M$69,3,0)</f>
        <v>はしまモア</v>
      </c>
    </row>
    <row r="78" spans="1:27" ht="20.25" customHeight="1">
      <c r="A78" s="14">
        <f>IF(ISERROR(Z78),"",Z78)</f>
        <v>2</v>
      </c>
      <c r="B78" s="14" t="str">
        <f>IF(ISERROR(AA78),"",AA78)</f>
        <v>愛工大付属</v>
      </c>
      <c r="C78" s="14" t="str">
        <f>ﾄｰﾅﾒﾝﾄ!D192</f>
        <v>太田　拓輝</v>
      </c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2"/>
      <c r="W78" s="23"/>
      <c r="Z78" s="33">
        <f>VLOOKUP(C78,ｼｰﾄﾞ!$K$6:$M$69,2,0)</f>
        <v>2</v>
      </c>
      <c r="AA78" s="33" t="str">
        <f>VLOOKUP(C78,ｼｰﾄﾞ!$K$6:$M$69,3,0)</f>
        <v>愛工大付属</v>
      </c>
    </row>
  </sheetData>
  <mergeCells count="48">
    <mergeCell ref="A26:C26"/>
    <mergeCell ref="A1:C1"/>
    <mergeCell ref="A6:C6"/>
    <mergeCell ref="A11:C11"/>
    <mergeCell ref="A16:C16"/>
    <mergeCell ref="A21:C21"/>
    <mergeCell ref="D26:K26"/>
    <mergeCell ref="L26:W26"/>
    <mergeCell ref="D36:K36"/>
    <mergeCell ref="L36:W36"/>
    <mergeCell ref="D1:K1"/>
    <mergeCell ref="L1:W1"/>
    <mergeCell ref="D6:K6"/>
    <mergeCell ref="L6:W6"/>
    <mergeCell ref="D16:K16"/>
    <mergeCell ref="D11:K11"/>
    <mergeCell ref="L16:W16"/>
    <mergeCell ref="D21:K21"/>
    <mergeCell ref="L21:W21"/>
    <mergeCell ref="L11:W11"/>
    <mergeCell ref="A31:C31"/>
    <mergeCell ref="D31:K31"/>
    <mergeCell ref="A36:C36"/>
    <mergeCell ref="D40:K40"/>
    <mergeCell ref="L40:W40"/>
    <mergeCell ref="L31:W31"/>
    <mergeCell ref="D45:K45"/>
    <mergeCell ref="L45:W45"/>
    <mergeCell ref="A50:C50"/>
    <mergeCell ref="A40:C40"/>
    <mergeCell ref="A45:C45"/>
    <mergeCell ref="A55:C55"/>
    <mergeCell ref="D60:K60"/>
    <mergeCell ref="L60:W60"/>
    <mergeCell ref="D50:K50"/>
    <mergeCell ref="L50:W50"/>
    <mergeCell ref="D55:K55"/>
    <mergeCell ref="L55:W55"/>
    <mergeCell ref="D65:K65"/>
    <mergeCell ref="L65:W65"/>
    <mergeCell ref="A60:C60"/>
    <mergeCell ref="A65:C65"/>
    <mergeCell ref="A70:C70"/>
    <mergeCell ref="A75:C75"/>
    <mergeCell ref="D70:K70"/>
    <mergeCell ref="L70:W70"/>
    <mergeCell ref="D75:K75"/>
    <mergeCell ref="L75:W75"/>
  </mergeCells>
  <phoneticPr fontId="3"/>
  <printOptions horizontalCentered="1"/>
  <pageMargins left="0.78740157480314965" right="0.39370078740157483" top="0.51181102362204722" bottom="0.51181102362204722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zoomScale="85" workbookViewId="0">
      <selection activeCell="D2" sqref="D2:W4"/>
    </sheetView>
  </sheetViews>
  <sheetFormatPr defaultColWidth="4" defaultRowHeight="20.25" customHeight="1" outlineLevelCol="1"/>
  <cols>
    <col min="1" max="1" width="4.5703125" style="16" customWidth="1"/>
    <col min="2" max="2" width="15.85546875" style="16" customWidth="1"/>
    <col min="3" max="3" width="16.42578125" style="16" bestFit="1" customWidth="1"/>
    <col min="4" max="16" width="4" style="24" customWidth="1"/>
    <col min="17" max="22" width="4" style="24" hidden="1" customWidth="1" outlineLevel="1"/>
    <col min="23" max="23" width="4" style="24" customWidth="1" collapsed="1"/>
    <col min="24" max="25" width="4" style="24" customWidth="1"/>
    <col min="26" max="26" width="5.28515625" style="24" hidden="1" customWidth="1" outlineLevel="1"/>
    <col min="27" max="27" width="12.28515625" style="24" hidden="1" customWidth="1" outlineLevel="1"/>
    <col min="28" max="28" width="4" style="24" customWidth="1" collapsed="1"/>
    <col min="29" max="16384" width="4" style="24"/>
  </cols>
  <sheetData>
    <row r="1" spans="1:27" ht="20.25" customHeight="1">
      <c r="A1" s="367" t="str">
        <f>"　"&amp;名簿!$A$2</f>
        <v>　中学男子</v>
      </c>
      <c r="B1" s="367"/>
      <c r="C1" s="367"/>
      <c r="D1" s="366" t="str">
        <f>'T2'!D1</f>
        <v>　　トーナメント対戦表</v>
      </c>
      <c r="E1" s="366"/>
      <c r="F1" s="366"/>
      <c r="G1" s="366"/>
      <c r="H1" s="366"/>
      <c r="I1" s="366"/>
      <c r="J1" s="366"/>
      <c r="K1" s="366"/>
      <c r="L1" s="366" t="s">
        <v>46</v>
      </c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</row>
    <row r="2" spans="1:27" s="16" customFormat="1" ht="20.25" customHeight="1">
      <c r="A2" s="14" t="s">
        <v>43</v>
      </c>
      <c r="B2" s="14" t="s">
        <v>39</v>
      </c>
      <c r="C2" s="14" t="s">
        <v>38</v>
      </c>
      <c r="D2" s="17">
        <v>1</v>
      </c>
      <c r="E2" s="18">
        <v>2</v>
      </c>
      <c r="F2" s="18">
        <v>3</v>
      </c>
      <c r="G2" s="18">
        <v>4</v>
      </c>
      <c r="H2" s="18">
        <v>5</v>
      </c>
      <c r="I2" s="18">
        <v>6</v>
      </c>
      <c r="J2" s="18">
        <v>7</v>
      </c>
      <c r="K2" s="18">
        <v>8</v>
      </c>
      <c r="L2" s="18">
        <v>9</v>
      </c>
      <c r="M2" s="18">
        <v>10</v>
      </c>
      <c r="N2" s="18">
        <v>11</v>
      </c>
      <c r="O2" s="18">
        <v>12</v>
      </c>
      <c r="P2" s="18">
        <v>13</v>
      </c>
      <c r="Q2" s="18">
        <v>14</v>
      </c>
      <c r="R2" s="18">
        <v>15</v>
      </c>
      <c r="S2" s="18">
        <v>16</v>
      </c>
      <c r="T2" s="18">
        <v>17</v>
      </c>
      <c r="U2" s="18">
        <v>18</v>
      </c>
      <c r="V2" s="19">
        <v>19</v>
      </c>
      <c r="W2" s="14" t="s">
        <v>41</v>
      </c>
    </row>
    <row r="3" spans="1:27" ht="20.25" customHeight="1">
      <c r="A3" s="14">
        <f>IF(ISERROR(Z3),"",Z3)</f>
        <v>1</v>
      </c>
      <c r="B3" s="14" t="str">
        <f>IF(ISERROR(AA3),"",AA3)</f>
        <v>はしまモア</v>
      </c>
      <c r="C3" s="14" t="str">
        <f>ﾄｰﾅﾒﾝﾄ!F8</f>
        <v>福田　亮介</v>
      </c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3"/>
      <c r="Z3" s="33">
        <f>VLOOKUP(C3,ｼｰﾄﾞ!$K$6:$M$69,2,0)</f>
        <v>1</v>
      </c>
      <c r="AA3" s="33" t="str">
        <f>VLOOKUP(C3,ｼｰﾄﾞ!$K$6:$M$69,3,0)</f>
        <v>はしまモア</v>
      </c>
    </row>
    <row r="4" spans="1:27" ht="20.25" customHeight="1">
      <c r="A4" s="14">
        <f>IF(ISERROR(Z4),"",Z4)</f>
        <v>16</v>
      </c>
      <c r="B4" s="14" t="str">
        <f>IF(ISERROR(AA4),"",AA4)</f>
        <v>愛工大付属</v>
      </c>
      <c r="C4" s="14" t="str">
        <f>ﾄｰﾅﾒﾝﾄ!F20</f>
        <v>伊藤　真吾</v>
      </c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  <c r="W4" s="23"/>
      <c r="Z4" s="33">
        <f>VLOOKUP(C4,ｼｰﾄﾞ!$K$6:$M$69,2,0)</f>
        <v>16</v>
      </c>
      <c r="AA4" s="33" t="str">
        <f>VLOOKUP(C4,ｼｰﾄﾞ!$K$6:$M$69,3,0)</f>
        <v>愛工大付属</v>
      </c>
    </row>
    <row r="6" spans="1:27" ht="20.25" customHeight="1">
      <c r="A6" s="367" t="str">
        <f>"　"&amp;名簿!$A$2</f>
        <v>　中学男子</v>
      </c>
      <c r="B6" s="367"/>
      <c r="C6" s="367"/>
      <c r="D6" s="366" t="str">
        <f>$D$1</f>
        <v>　　トーナメント対戦表</v>
      </c>
      <c r="E6" s="366"/>
      <c r="F6" s="366"/>
      <c r="G6" s="366"/>
      <c r="H6" s="366"/>
      <c r="I6" s="366"/>
      <c r="J6" s="366"/>
      <c r="K6" s="366"/>
      <c r="L6" s="366" t="str">
        <f>$L$1</f>
        <v>３回戦</v>
      </c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</row>
    <row r="7" spans="1:27" s="16" customFormat="1" ht="20.25" customHeight="1">
      <c r="A7" s="14" t="s">
        <v>43</v>
      </c>
      <c r="B7" s="14" t="s">
        <v>39</v>
      </c>
      <c r="C7" s="14" t="s">
        <v>38</v>
      </c>
      <c r="D7" s="17">
        <v>1</v>
      </c>
      <c r="E7" s="18">
        <v>2</v>
      </c>
      <c r="F7" s="18">
        <v>3</v>
      </c>
      <c r="G7" s="18">
        <v>4</v>
      </c>
      <c r="H7" s="18">
        <v>5</v>
      </c>
      <c r="I7" s="18">
        <v>6</v>
      </c>
      <c r="J7" s="18">
        <v>7</v>
      </c>
      <c r="K7" s="18">
        <v>8</v>
      </c>
      <c r="L7" s="18">
        <v>9</v>
      </c>
      <c r="M7" s="18">
        <v>10</v>
      </c>
      <c r="N7" s="18">
        <v>11</v>
      </c>
      <c r="O7" s="18">
        <v>12</v>
      </c>
      <c r="P7" s="18">
        <v>13</v>
      </c>
      <c r="Q7" s="18">
        <v>14</v>
      </c>
      <c r="R7" s="18">
        <v>15</v>
      </c>
      <c r="S7" s="18">
        <v>16</v>
      </c>
      <c r="T7" s="18">
        <v>17</v>
      </c>
      <c r="U7" s="18">
        <v>18</v>
      </c>
      <c r="V7" s="19">
        <v>19</v>
      </c>
      <c r="W7" s="14" t="s">
        <v>41</v>
      </c>
    </row>
    <row r="8" spans="1:27" ht="20.25" customHeight="1">
      <c r="A8" s="14">
        <f>IF(ISERROR(Z8),"",Z8)</f>
        <v>9</v>
      </c>
      <c r="B8" s="14" t="str">
        <f>IF(ISERROR(AA8),"",AA8)</f>
        <v>法政大第二中学</v>
      </c>
      <c r="C8" s="14" t="str">
        <f>ﾄｰﾅﾒﾝﾄ!F32</f>
        <v>安井　琥珀</v>
      </c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3"/>
      <c r="Z8" s="33">
        <f>VLOOKUP(C8,ｼｰﾄﾞ!$K$6:$M$69,2,0)</f>
        <v>9</v>
      </c>
      <c r="AA8" s="33" t="str">
        <f>VLOOKUP(C8,ｼｰﾄﾞ!$K$6:$M$69,3,0)</f>
        <v>法政大第二中学</v>
      </c>
    </row>
    <row r="9" spans="1:27" ht="20.25" customHeight="1">
      <c r="A9" s="14">
        <f>IF(ISERROR(Z9),"",Z9)</f>
        <v>25</v>
      </c>
      <c r="B9" s="14" t="str">
        <f>IF(ISERROR(AA9),"",AA9)</f>
        <v>愛工大付属</v>
      </c>
      <c r="C9" s="14" t="str">
        <f>ﾄｰﾅﾒﾝﾄ!F44</f>
        <v>弓長　昇主</v>
      </c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3"/>
      <c r="Z9" s="33">
        <f>VLOOKUP(C9,ｼｰﾄﾞ!$K$6:$M$69,2,0)</f>
        <v>25</v>
      </c>
      <c r="AA9" s="33" t="str">
        <f>VLOOKUP(C9,ｼｰﾄﾞ!$K$6:$M$69,3,0)</f>
        <v>愛工大付属</v>
      </c>
    </row>
    <row r="11" spans="1:27" ht="20.25" customHeight="1">
      <c r="A11" s="367" t="str">
        <f>"　"&amp;名簿!$A$2</f>
        <v>　中学男子</v>
      </c>
      <c r="B11" s="367"/>
      <c r="C11" s="367"/>
      <c r="D11" s="366" t="str">
        <f>$D$1</f>
        <v>　　トーナメント対戦表</v>
      </c>
      <c r="E11" s="366"/>
      <c r="F11" s="366"/>
      <c r="G11" s="366"/>
      <c r="H11" s="366"/>
      <c r="I11" s="366"/>
      <c r="J11" s="366"/>
      <c r="K11" s="366"/>
      <c r="L11" s="366" t="str">
        <f>$L$1</f>
        <v>３回戦</v>
      </c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</row>
    <row r="12" spans="1:27" s="16" customFormat="1" ht="20.25" customHeight="1">
      <c r="A12" s="14" t="s">
        <v>43</v>
      </c>
      <c r="B12" s="14" t="s">
        <v>39</v>
      </c>
      <c r="C12" s="14" t="s">
        <v>38</v>
      </c>
      <c r="D12" s="17">
        <v>1</v>
      </c>
      <c r="E12" s="18">
        <v>2</v>
      </c>
      <c r="F12" s="18">
        <v>3</v>
      </c>
      <c r="G12" s="18">
        <v>4</v>
      </c>
      <c r="H12" s="18">
        <v>5</v>
      </c>
      <c r="I12" s="18">
        <v>6</v>
      </c>
      <c r="J12" s="18">
        <v>7</v>
      </c>
      <c r="K12" s="18">
        <v>8</v>
      </c>
      <c r="L12" s="18">
        <v>9</v>
      </c>
      <c r="M12" s="18">
        <v>10</v>
      </c>
      <c r="N12" s="18">
        <v>11</v>
      </c>
      <c r="O12" s="18">
        <v>12</v>
      </c>
      <c r="P12" s="18">
        <v>13</v>
      </c>
      <c r="Q12" s="18">
        <v>14</v>
      </c>
      <c r="R12" s="18">
        <v>15</v>
      </c>
      <c r="S12" s="18">
        <v>16</v>
      </c>
      <c r="T12" s="18">
        <v>17</v>
      </c>
      <c r="U12" s="18">
        <v>18</v>
      </c>
      <c r="V12" s="19">
        <v>19</v>
      </c>
      <c r="W12" s="14" t="s">
        <v>41</v>
      </c>
    </row>
    <row r="13" spans="1:27" ht="20.25" customHeight="1">
      <c r="A13" s="14">
        <f>IF(ISERROR(Z13),"",Z13)</f>
        <v>28</v>
      </c>
      <c r="B13" s="14" t="str">
        <f>IF(ISERROR(AA13),"",AA13)</f>
        <v>富山パレス</v>
      </c>
      <c r="C13" s="14" t="str">
        <f>ﾄｰﾅﾒﾝﾄ!F56</f>
        <v>藤野　正真</v>
      </c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  <c r="W13" s="23"/>
      <c r="Z13" s="33">
        <f>VLOOKUP(C13,ｼｰﾄﾞ!$K$6:$M$69,2,0)</f>
        <v>28</v>
      </c>
      <c r="AA13" s="33" t="str">
        <f>VLOOKUP(C13,ｼｰﾄﾞ!$K$6:$M$69,3,0)</f>
        <v>富山パレス</v>
      </c>
    </row>
    <row r="14" spans="1:27" ht="20.25" customHeight="1">
      <c r="A14" s="14">
        <f>IF(ISERROR(Z14),"",Z14)</f>
        <v>12</v>
      </c>
      <c r="B14" s="14" t="str">
        <f>IF(ISERROR(AA14),"",AA14)</f>
        <v>南箕輪わくわく</v>
      </c>
      <c r="C14" s="14" t="str">
        <f>ﾄｰﾅﾒﾝﾄ!F68</f>
        <v>保科　幸作</v>
      </c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23"/>
      <c r="Z14" s="33">
        <f>VLOOKUP(C14,ｼｰﾄﾞ!$K$6:$M$69,2,0)</f>
        <v>12</v>
      </c>
      <c r="AA14" s="33" t="str">
        <f>VLOOKUP(C14,ｼｰﾄﾞ!$K$6:$M$69,3,0)</f>
        <v>南箕輪わくわく</v>
      </c>
    </row>
    <row r="16" spans="1:27" ht="20.25" customHeight="1">
      <c r="A16" s="367" t="str">
        <f>"　"&amp;名簿!$A$2</f>
        <v>　中学男子</v>
      </c>
      <c r="B16" s="367"/>
      <c r="C16" s="367"/>
      <c r="D16" s="366" t="str">
        <f>$D$1</f>
        <v>　　トーナメント対戦表</v>
      </c>
      <c r="E16" s="366"/>
      <c r="F16" s="366"/>
      <c r="G16" s="366"/>
      <c r="H16" s="366"/>
      <c r="I16" s="366"/>
      <c r="J16" s="366"/>
      <c r="K16" s="366"/>
      <c r="L16" s="366" t="str">
        <f>$L$1</f>
        <v>３回戦</v>
      </c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</row>
    <row r="17" spans="1:27" s="16" customFormat="1" ht="20.25" customHeight="1">
      <c r="A17" s="14" t="s">
        <v>43</v>
      </c>
      <c r="B17" s="14" t="s">
        <v>39</v>
      </c>
      <c r="C17" s="14" t="s">
        <v>38</v>
      </c>
      <c r="D17" s="17">
        <v>1</v>
      </c>
      <c r="E17" s="18">
        <v>2</v>
      </c>
      <c r="F17" s="18">
        <v>3</v>
      </c>
      <c r="G17" s="18">
        <v>4</v>
      </c>
      <c r="H17" s="18">
        <v>5</v>
      </c>
      <c r="I17" s="18">
        <v>6</v>
      </c>
      <c r="J17" s="18">
        <v>7</v>
      </c>
      <c r="K17" s="18">
        <v>8</v>
      </c>
      <c r="L17" s="18">
        <v>9</v>
      </c>
      <c r="M17" s="18">
        <v>10</v>
      </c>
      <c r="N17" s="18">
        <v>11</v>
      </c>
      <c r="O17" s="18">
        <v>12</v>
      </c>
      <c r="P17" s="18">
        <v>13</v>
      </c>
      <c r="Q17" s="18">
        <v>14</v>
      </c>
      <c r="R17" s="18">
        <v>15</v>
      </c>
      <c r="S17" s="18">
        <v>16</v>
      </c>
      <c r="T17" s="18">
        <v>17</v>
      </c>
      <c r="U17" s="18">
        <v>18</v>
      </c>
      <c r="V17" s="19">
        <v>19</v>
      </c>
      <c r="W17" s="14" t="s">
        <v>41</v>
      </c>
    </row>
    <row r="18" spans="1:27" ht="20.25" customHeight="1">
      <c r="A18" s="14">
        <f>IF(ISERROR(Z18),"",Z18)</f>
        <v>13</v>
      </c>
      <c r="B18" s="14" t="str">
        <f>IF(ISERROR(AA18),"",AA18)</f>
        <v>はしまモア</v>
      </c>
      <c r="C18" s="14" t="str">
        <f>ﾄｰﾅﾒﾝﾄ!F80</f>
        <v>奥田　玲大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3"/>
      <c r="Z18" s="33">
        <f>VLOOKUP(C18,ｼｰﾄﾞ!$K$6:$M$69,2,0)</f>
        <v>13</v>
      </c>
      <c r="AA18" s="33" t="str">
        <f>VLOOKUP(C18,ｼｰﾄﾞ!$K$6:$M$69,3,0)</f>
        <v>はしまモア</v>
      </c>
    </row>
    <row r="19" spans="1:27" ht="20.25" customHeight="1">
      <c r="A19" s="14">
        <f>IF(ISERROR(Z19),"",Z19)</f>
        <v>4</v>
      </c>
      <c r="B19" s="14" t="str">
        <f>IF(ISERROR(AA19),"",AA19)</f>
        <v>ワセダクラブ</v>
      </c>
      <c r="C19" s="14" t="str">
        <f>ﾄｰﾅﾒﾝﾄ!F92</f>
        <v>鈴木　統吾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  <c r="W19" s="23"/>
      <c r="Z19" s="33">
        <f>VLOOKUP(C19,ｼｰﾄﾞ!$K$6:$M$69,2,0)</f>
        <v>4</v>
      </c>
      <c r="AA19" s="33" t="str">
        <f>VLOOKUP(C19,ｼｰﾄﾞ!$K$6:$M$69,3,0)</f>
        <v>ワセダクラブ</v>
      </c>
    </row>
    <row r="21" spans="1:27" ht="20.25" customHeight="1">
      <c r="A21" s="367" t="str">
        <f>"　"&amp;名簿!$A$2</f>
        <v>　中学男子</v>
      </c>
      <c r="B21" s="367"/>
      <c r="C21" s="367"/>
      <c r="D21" s="366" t="str">
        <f>$D$1</f>
        <v>　　トーナメント対戦表</v>
      </c>
      <c r="E21" s="366"/>
      <c r="F21" s="366"/>
      <c r="G21" s="366"/>
      <c r="H21" s="366"/>
      <c r="I21" s="366"/>
      <c r="J21" s="366"/>
      <c r="K21" s="366"/>
      <c r="L21" s="366" t="str">
        <f>$L$1</f>
        <v>３回戦</v>
      </c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</row>
    <row r="22" spans="1:27" s="16" customFormat="1" ht="20.25" customHeight="1">
      <c r="A22" s="14" t="s">
        <v>43</v>
      </c>
      <c r="B22" s="14" t="s">
        <v>39</v>
      </c>
      <c r="C22" s="14" t="s">
        <v>38</v>
      </c>
      <c r="D22" s="17">
        <v>1</v>
      </c>
      <c r="E22" s="18">
        <v>2</v>
      </c>
      <c r="F22" s="18">
        <v>3</v>
      </c>
      <c r="G22" s="18">
        <v>4</v>
      </c>
      <c r="H22" s="18">
        <v>5</v>
      </c>
      <c r="I22" s="18">
        <v>6</v>
      </c>
      <c r="J22" s="18">
        <v>7</v>
      </c>
      <c r="K22" s="18">
        <v>8</v>
      </c>
      <c r="L22" s="18">
        <v>9</v>
      </c>
      <c r="M22" s="18">
        <v>10</v>
      </c>
      <c r="N22" s="18">
        <v>11</v>
      </c>
      <c r="O22" s="18">
        <v>12</v>
      </c>
      <c r="P22" s="18">
        <v>13</v>
      </c>
      <c r="Q22" s="18">
        <v>14</v>
      </c>
      <c r="R22" s="18">
        <v>15</v>
      </c>
      <c r="S22" s="18">
        <v>16</v>
      </c>
      <c r="T22" s="18">
        <v>17</v>
      </c>
      <c r="U22" s="18">
        <v>18</v>
      </c>
      <c r="V22" s="19">
        <v>19</v>
      </c>
      <c r="W22" s="14" t="s">
        <v>41</v>
      </c>
    </row>
    <row r="23" spans="1:27" ht="20.25" customHeight="1">
      <c r="A23" s="14">
        <f>IF(ISERROR(Z23),"",Z23)</f>
        <v>3</v>
      </c>
      <c r="B23" s="14" t="str">
        <f>IF(ISERROR(AA23),"",AA23)</f>
        <v>はしまモア</v>
      </c>
      <c r="C23" s="14" t="str">
        <f>ﾄｰﾅﾒﾝﾄ!F104</f>
        <v>田内　稜大</v>
      </c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2"/>
      <c r="W23" s="23"/>
      <c r="Z23" s="33">
        <f>VLOOKUP(C23,ｼｰﾄﾞ!$K$6:$M$69,2,0)</f>
        <v>3</v>
      </c>
      <c r="AA23" s="33" t="str">
        <f>VLOOKUP(C23,ｼｰﾄﾞ!$K$6:$M$69,3,0)</f>
        <v>はしまモア</v>
      </c>
    </row>
    <row r="24" spans="1:27" ht="20.25" customHeight="1">
      <c r="A24" s="14">
        <f>IF(ISERROR(Z24),"",Z24)</f>
        <v>14</v>
      </c>
      <c r="B24" s="14" t="str">
        <f>IF(ISERROR(AA24),"",AA24)</f>
        <v>長野ジュニア</v>
      </c>
      <c r="C24" s="14" t="str">
        <f>ﾄｰﾅﾒﾝﾄ!F116</f>
        <v>杉岡　瑞基</v>
      </c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  <c r="W24" s="23"/>
      <c r="Z24" s="33">
        <f>VLOOKUP(C24,ｼｰﾄﾞ!$K$6:$M$69,2,0)</f>
        <v>14</v>
      </c>
      <c r="AA24" s="33" t="str">
        <f>VLOOKUP(C24,ｼｰﾄﾞ!$K$6:$M$69,3,0)</f>
        <v>長野ジュニア</v>
      </c>
    </row>
    <row r="26" spans="1:27" ht="20.25" customHeight="1">
      <c r="A26" s="367" t="str">
        <f>"　"&amp;名簿!$A$2</f>
        <v>　中学男子</v>
      </c>
      <c r="B26" s="367"/>
      <c r="C26" s="367"/>
      <c r="D26" s="366" t="str">
        <f>$D$1</f>
        <v>　　トーナメント対戦表</v>
      </c>
      <c r="E26" s="366"/>
      <c r="F26" s="366"/>
      <c r="G26" s="366"/>
      <c r="H26" s="366"/>
      <c r="I26" s="366"/>
      <c r="J26" s="366"/>
      <c r="K26" s="366"/>
      <c r="L26" s="366" t="str">
        <f>$L$1</f>
        <v>３回戦</v>
      </c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</row>
    <row r="27" spans="1:27" s="16" customFormat="1" ht="20.25" customHeight="1">
      <c r="A27" s="14" t="s">
        <v>43</v>
      </c>
      <c r="B27" s="14" t="s">
        <v>39</v>
      </c>
      <c r="C27" s="14" t="s">
        <v>38</v>
      </c>
      <c r="D27" s="17">
        <v>1</v>
      </c>
      <c r="E27" s="18">
        <v>2</v>
      </c>
      <c r="F27" s="18">
        <v>3</v>
      </c>
      <c r="G27" s="18">
        <v>4</v>
      </c>
      <c r="H27" s="18">
        <v>5</v>
      </c>
      <c r="I27" s="18">
        <v>6</v>
      </c>
      <c r="J27" s="18">
        <v>7</v>
      </c>
      <c r="K27" s="18">
        <v>8</v>
      </c>
      <c r="L27" s="18">
        <v>9</v>
      </c>
      <c r="M27" s="18">
        <v>10</v>
      </c>
      <c r="N27" s="18">
        <v>11</v>
      </c>
      <c r="O27" s="18">
        <v>12</v>
      </c>
      <c r="P27" s="18">
        <v>13</v>
      </c>
      <c r="Q27" s="18">
        <v>14</v>
      </c>
      <c r="R27" s="18">
        <v>15</v>
      </c>
      <c r="S27" s="18">
        <v>16</v>
      </c>
      <c r="T27" s="18">
        <v>17</v>
      </c>
      <c r="U27" s="18">
        <v>18</v>
      </c>
      <c r="V27" s="19">
        <v>19</v>
      </c>
      <c r="W27" s="14" t="s">
        <v>41</v>
      </c>
    </row>
    <row r="28" spans="1:27" ht="20.25" customHeight="1">
      <c r="A28" s="14">
        <f>IF(ISERROR(Z28),"",Z28)</f>
        <v>22</v>
      </c>
      <c r="B28" s="14" t="str">
        <f>IF(ISERROR(AA28),"",AA28)</f>
        <v>箕輪中学校</v>
      </c>
      <c r="C28" s="14" t="str">
        <f>ﾄｰﾅﾒﾝﾄ!F128</f>
        <v>中村　健人</v>
      </c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2"/>
      <c r="W28" s="23"/>
      <c r="Z28" s="33">
        <f>VLOOKUP(C28,ｼｰﾄﾞ!$K$6:$M$69,2,0)</f>
        <v>22</v>
      </c>
      <c r="AA28" s="33" t="str">
        <f>VLOOKUP(C28,ｼｰﾄﾞ!$K$6:$M$69,3,0)</f>
        <v>箕輪中学校</v>
      </c>
    </row>
    <row r="29" spans="1:27" ht="20.25" customHeight="1">
      <c r="A29" s="14">
        <f>IF(ISERROR(Z29),"",Z29)</f>
        <v>6</v>
      </c>
      <c r="B29" s="14" t="str">
        <f>IF(ISERROR(AA29),"",AA29)</f>
        <v>はしまモア</v>
      </c>
      <c r="C29" s="14" t="str">
        <f>ﾄｰﾅﾒﾝﾄ!F140</f>
        <v>河村　一摩</v>
      </c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2"/>
      <c r="W29" s="23"/>
      <c r="Z29" s="33">
        <f>VLOOKUP(C29,ｼｰﾄﾞ!$K$6:$M$69,2,0)</f>
        <v>6</v>
      </c>
      <c r="AA29" s="33" t="str">
        <f>VLOOKUP(C29,ｼｰﾄﾞ!$K$6:$M$69,3,0)</f>
        <v>はしまモア</v>
      </c>
    </row>
    <row r="31" spans="1:27" ht="20.25" customHeight="1">
      <c r="A31" s="367" t="str">
        <f>"　"&amp;名簿!$A$2</f>
        <v>　中学男子</v>
      </c>
      <c r="B31" s="367"/>
      <c r="C31" s="367"/>
      <c r="D31" s="366" t="str">
        <f>$D$1</f>
        <v>　　トーナメント対戦表</v>
      </c>
      <c r="E31" s="366"/>
      <c r="F31" s="366"/>
      <c r="G31" s="366"/>
      <c r="H31" s="366"/>
      <c r="I31" s="366"/>
      <c r="J31" s="366"/>
      <c r="K31" s="366"/>
      <c r="L31" s="366" t="str">
        <f>$L$1</f>
        <v>３回戦</v>
      </c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</row>
    <row r="32" spans="1:27" s="16" customFormat="1" ht="20.25" customHeight="1">
      <c r="A32" s="14" t="s">
        <v>43</v>
      </c>
      <c r="B32" s="14" t="s">
        <v>39</v>
      </c>
      <c r="C32" s="14" t="s">
        <v>38</v>
      </c>
      <c r="D32" s="17">
        <v>1</v>
      </c>
      <c r="E32" s="18">
        <v>2</v>
      </c>
      <c r="F32" s="18">
        <v>3</v>
      </c>
      <c r="G32" s="18">
        <v>4</v>
      </c>
      <c r="H32" s="18">
        <v>5</v>
      </c>
      <c r="I32" s="18">
        <v>6</v>
      </c>
      <c r="J32" s="18">
        <v>7</v>
      </c>
      <c r="K32" s="18">
        <v>8</v>
      </c>
      <c r="L32" s="18">
        <v>9</v>
      </c>
      <c r="M32" s="18">
        <v>10</v>
      </c>
      <c r="N32" s="18">
        <v>11</v>
      </c>
      <c r="O32" s="18">
        <v>12</v>
      </c>
      <c r="P32" s="18">
        <v>13</v>
      </c>
      <c r="Q32" s="18">
        <v>14</v>
      </c>
      <c r="R32" s="18">
        <v>15</v>
      </c>
      <c r="S32" s="18">
        <v>16</v>
      </c>
      <c r="T32" s="18">
        <v>17</v>
      </c>
      <c r="U32" s="18">
        <v>18</v>
      </c>
      <c r="V32" s="19">
        <v>19</v>
      </c>
      <c r="W32" s="14" t="s">
        <v>41</v>
      </c>
    </row>
    <row r="33" spans="1:27" ht="20.25" customHeight="1">
      <c r="A33" s="14">
        <f>IF(ISERROR(Z33),"",Z33)</f>
        <v>7</v>
      </c>
      <c r="B33" s="14" t="str">
        <f>IF(ISERROR(AA33),"",AA33)</f>
        <v>光が丘フェンシング</v>
      </c>
      <c r="C33" s="14" t="str">
        <f>ﾄｰﾅﾒﾝﾄ!F152</f>
        <v>黒澤　塁</v>
      </c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2"/>
      <c r="W33" s="23"/>
      <c r="Z33" s="33">
        <f>VLOOKUP(C33,ｼｰﾄﾞ!$K$6:$M$69,2,0)</f>
        <v>7</v>
      </c>
      <c r="AA33" s="33" t="str">
        <f>VLOOKUP(C33,ｼｰﾄﾞ!$K$6:$M$69,3,0)</f>
        <v>光が丘フェンシング</v>
      </c>
    </row>
    <row r="34" spans="1:27" ht="20.25" customHeight="1">
      <c r="A34" s="14">
        <f>IF(ISERROR(Z34),"",Z34)</f>
        <v>10</v>
      </c>
      <c r="B34" s="14" t="str">
        <f>IF(ISERROR(AA34),"",AA34)</f>
        <v>河南町フェンシング</v>
      </c>
      <c r="C34" s="14" t="str">
        <f>ﾄｰﾅﾒﾝﾄ!F164</f>
        <v>菊元　雪</v>
      </c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3"/>
      <c r="Z34" s="33">
        <f>VLOOKUP(C34,ｼｰﾄﾞ!$K$6:$M$69,2,0)</f>
        <v>10</v>
      </c>
      <c r="AA34" s="33" t="str">
        <f>VLOOKUP(C34,ｼｰﾄﾞ!$K$6:$M$69,3,0)</f>
        <v>河南町フェンシング</v>
      </c>
    </row>
    <row r="36" spans="1:27" ht="20.25" customHeight="1">
      <c r="A36" s="367" t="str">
        <f>"　"&amp;名簿!$A$2</f>
        <v>　中学男子</v>
      </c>
      <c r="B36" s="367"/>
      <c r="C36" s="367"/>
      <c r="D36" s="366" t="str">
        <f>$D$1</f>
        <v>　　トーナメント対戦表</v>
      </c>
      <c r="E36" s="366"/>
      <c r="F36" s="366"/>
      <c r="G36" s="366"/>
      <c r="H36" s="366"/>
      <c r="I36" s="366"/>
      <c r="J36" s="366"/>
      <c r="K36" s="366"/>
      <c r="L36" s="366" t="str">
        <f>$L$1</f>
        <v>３回戦</v>
      </c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</row>
    <row r="37" spans="1:27" s="16" customFormat="1" ht="20.25" customHeight="1">
      <c r="A37" s="14" t="s">
        <v>43</v>
      </c>
      <c r="B37" s="14" t="s">
        <v>39</v>
      </c>
      <c r="C37" s="14" t="s">
        <v>38</v>
      </c>
      <c r="D37" s="17">
        <v>1</v>
      </c>
      <c r="E37" s="18">
        <v>2</v>
      </c>
      <c r="F37" s="18">
        <v>3</v>
      </c>
      <c r="G37" s="18">
        <v>4</v>
      </c>
      <c r="H37" s="18">
        <v>5</v>
      </c>
      <c r="I37" s="18">
        <v>6</v>
      </c>
      <c r="J37" s="18">
        <v>7</v>
      </c>
      <c r="K37" s="18">
        <v>8</v>
      </c>
      <c r="L37" s="18">
        <v>9</v>
      </c>
      <c r="M37" s="18">
        <v>10</v>
      </c>
      <c r="N37" s="18">
        <v>11</v>
      </c>
      <c r="O37" s="18">
        <v>12</v>
      </c>
      <c r="P37" s="18">
        <v>13</v>
      </c>
      <c r="Q37" s="18">
        <v>14</v>
      </c>
      <c r="R37" s="18">
        <v>15</v>
      </c>
      <c r="S37" s="18">
        <v>16</v>
      </c>
      <c r="T37" s="18">
        <v>17</v>
      </c>
      <c r="U37" s="18">
        <v>18</v>
      </c>
      <c r="V37" s="19">
        <v>19</v>
      </c>
      <c r="W37" s="14" t="s">
        <v>41</v>
      </c>
    </row>
    <row r="38" spans="1:27" ht="20.25" customHeight="1">
      <c r="A38" s="14">
        <f>IF(ISERROR(Z38),"",Z38)</f>
        <v>18</v>
      </c>
      <c r="B38" s="14" t="str">
        <f>IF(ISERROR(AA38),"",AA38)</f>
        <v>ワセダクラブ</v>
      </c>
      <c r="C38" s="14" t="str">
        <f>ﾄｰﾅﾒﾝﾄ!F176</f>
        <v>林　祥太郎</v>
      </c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3"/>
      <c r="Z38" s="33">
        <f>VLOOKUP(C38,ｼｰﾄﾞ!$K$6:$M$69,2,0)</f>
        <v>18</v>
      </c>
      <c r="AA38" s="33" t="str">
        <f>VLOOKUP(C38,ｼｰﾄﾞ!$K$6:$M$69,3,0)</f>
        <v>ワセダクラブ</v>
      </c>
    </row>
    <row r="39" spans="1:27" ht="20.25" customHeight="1">
      <c r="A39" s="14">
        <f>IF(ISERROR(Z39),"",Z39)</f>
        <v>2</v>
      </c>
      <c r="B39" s="14" t="str">
        <f>IF(ISERROR(AA39),"",AA39)</f>
        <v>愛工大付属</v>
      </c>
      <c r="C39" s="14" t="str">
        <f>ﾄｰﾅﾒﾝﾄ!F188</f>
        <v>太田　拓輝</v>
      </c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3"/>
      <c r="Z39" s="33">
        <f>VLOOKUP(C39,ｼｰﾄﾞ!$K$6:$M$69,2,0)</f>
        <v>2</v>
      </c>
      <c r="AA39" s="33" t="str">
        <f>VLOOKUP(C39,ｼｰﾄﾞ!$K$6:$M$69,3,0)</f>
        <v>愛工大付属</v>
      </c>
    </row>
  </sheetData>
  <mergeCells count="24">
    <mergeCell ref="D1:K1"/>
    <mergeCell ref="L1:W1"/>
    <mergeCell ref="D6:K6"/>
    <mergeCell ref="L6:W6"/>
    <mergeCell ref="A1:C1"/>
    <mergeCell ref="A6:C6"/>
    <mergeCell ref="A11:C11"/>
    <mergeCell ref="A16:C16"/>
    <mergeCell ref="A31:C31"/>
    <mergeCell ref="A36:C36"/>
    <mergeCell ref="A21:C21"/>
    <mergeCell ref="A26:C26"/>
    <mergeCell ref="D36:K36"/>
    <mergeCell ref="L36:W36"/>
    <mergeCell ref="D26:K26"/>
    <mergeCell ref="L26:W26"/>
    <mergeCell ref="D31:K31"/>
    <mergeCell ref="L31:W31"/>
    <mergeCell ref="D11:K11"/>
    <mergeCell ref="L11:W11"/>
    <mergeCell ref="D16:K16"/>
    <mergeCell ref="L16:W16"/>
    <mergeCell ref="D21:K21"/>
    <mergeCell ref="L21:W21"/>
  </mergeCells>
  <phoneticPr fontId="3"/>
  <printOptions horizontalCentered="1"/>
  <pageMargins left="0.78740157480314965" right="0.39370078740157483" top="0.51181102362204722" bottom="0.51181102362204722" header="0.51181102362204722" footer="0.51181102362204722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28</vt:i4>
      </vt:variant>
    </vt:vector>
  </HeadingPairs>
  <TitlesOfParts>
    <vt:vector size="39" baseType="lpstr">
      <vt:lpstr>名簿</vt:lpstr>
      <vt:lpstr>予選 Ｐ</vt:lpstr>
      <vt:lpstr>組合せ</vt:lpstr>
      <vt:lpstr>対戦表</vt:lpstr>
      <vt:lpstr>ｼｰﾄﾞ</vt:lpstr>
      <vt:lpstr>ﾄｰﾅﾒﾝﾄ</vt:lpstr>
      <vt:lpstr>T1</vt:lpstr>
      <vt:lpstr>T2</vt:lpstr>
      <vt:lpstr>T3</vt:lpstr>
      <vt:lpstr>T4</vt:lpstr>
      <vt:lpstr>T5</vt:lpstr>
      <vt:lpstr>ｼｰﾄﾞ!Print_Area</vt:lpstr>
      <vt:lpstr>ﾄｰﾅﾒﾝﾄ!Print_Area</vt:lpstr>
      <vt:lpstr>組合せ!Print_Area</vt:lpstr>
      <vt:lpstr>対戦表!Print_Area</vt:lpstr>
      <vt:lpstr>名簿!Print_Area</vt:lpstr>
      <vt:lpstr>'予選 Ｐ'!Print_Area</vt:lpstr>
      <vt:lpstr>ｼｰﾄﾞ!Print_Titles</vt:lpstr>
      <vt:lpstr>名簿!Print_Titles</vt:lpstr>
      <vt:lpstr>'予選 Ｐ'!Print_Titles</vt:lpstr>
      <vt:lpstr>シード順位表参照範囲</vt:lpstr>
      <vt:lpstr>シード順位表番号列</vt:lpstr>
      <vt:lpstr>名簿</vt:lpstr>
      <vt:lpstr>予選０１Ｐ</vt:lpstr>
      <vt:lpstr>予選０２Ｐ</vt:lpstr>
      <vt:lpstr>予選０３Ｐ</vt:lpstr>
      <vt:lpstr>予選０４Ｐ</vt:lpstr>
      <vt:lpstr>予選０５Ｐ</vt:lpstr>
      <vt:lpstr>予選０６Ｐ</vt:lpstr>
      <vt:lpstr>予選０７Ｐ</vt:lpstr>
      <vt:lpstr>予選０８Ｐ</vt:lpstr>
      <vt:lpstr>予選０９Ｐ</vt:lpstr>
      <vt:lpstr>予選１０Ｐ</vt:lpstr>
      <vt:lpstr>予選１１Ｐ</vt:lpstr>
      <vt:lpstr>予選１２Ｐ</vt:lpstr>
      <vt:lpstr>予選１３Ｐ</vt:lpstr>
      <vt:lpstr>予選１４Ｐ</vt:lpstr>
      <vt:lpstr>予選１５Ｐ</vt:lpstr>
      <vt:lpstr>予選１６Ｐ</vt:lpstr>
    </vt:vector>
  </TitlesOfParts>
  <Manager>全国高等学校体育連盟フェンシング部</Manager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高校総体作業ファイル</dc:title>
  <dc:subject>女子個人対抗フルーレ処理ファイル</dc:subject>
  <dc:creator>AOKI</dc:creator>
  <cp:lastModifiedBy>青木優磨</cp:lastModifiedBy>
  <cp:lastPrinted>2018-03-25T03:23:36Z</cp:lastPrinted>
  <dcterms:created xsi:type="dcterms:W3CDTF">1998-07-21T05:39:32Z</dcterms:created>
  <dcterms:modified xsi:type="dcterms:W3CDTF">2018-03-25T06:45:33Z</dcterms:modified>
</cp:coreProperties>
</file>