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優磨\Desktop\フェンシング\H29川本杯\組合せ\"/>
    </mc:Choice>
  </mc:AlternateContent>
  <bookViews>
    <workbookView xWindow="-15" yWindow="0" windowWidth="7650" windowHeight="8325" tabRatio="522"/>
  </bookViews>
  <sheets>
    <sheet name="名簿" sheetId="9" r:id="rId1"/>
    <sheet name="予選 Ｐ" sheetId="1" r:id="rId2"/>
    <sheet name="組合せ" sheetId="26" r:id="rId3"/>
    <sheet name="対戦表" sheetId="17" r:id="rId4"/>
    <sheet name="ｼｰﾄﾞ" sheetId="11" r:id="rId5"/>
    <sheet name="ﾄｰﾅﾒﾝﾄ" sheetId="27" r:id="rId6"/>
  </sheets>
  <externalReferences>
    <externalReference r:id="rId7"/>
    <externalReference r:id="rId8"/>
  </externalReferences>
  <definedNames>
    <definedName name="_xlnm._FilterDatabase" localSheetId="0" hidden="1">名簿!$A$4:$E$20</definedName>
    <definedName name="_xlnm.Print_Area" localSheetId="4">ｼｰﾄﾞ!$A$1:$I$21</definedName>
    <definedName name="_xlnm.Print_Area" localSheetId="5">ﾄｰﾅﾒﾝﾄ!$A$1:$K$68</definedName>
    <definedName name="_xlnm.Print_Area" localSheetId="2">組合せ!$A$1:$D$26</definedName>
    <definedName name="_xlnm.Print_Area" localSheetId="3">対戦表!$A$1:$O$228</definedName>
    <definedName name="_xlnm.Print_Area" localSheetId="0">名簿!$A$1:$E$20</definedName>
    <definedName name="_xlnm.Print_Area" localSheetId="1">'予選 Ｐ'!$A$1:$AF$28</definedName>
    <definedName name="_xlnm.Print_Titles" localSheetId="4">ｼｰﾄﾞ!$1:$3</definedName>
    <definedName name="_xlnm.Print_Titles" localSheetId="0">名簿!$1:$4</definedName>
    <definedName name="_xlnm.Print_Titles" localSheetId="1">'予選 Ｐ'!$1:$4</definedName>
    <definedName name="シード順位" localSheetId="5">[1]ｼｰﾄﾞ!#REF!</definedName>
    <definedName name="シード順位">ｼｰﾄﾞ!#REF!</definedName>
    <definedName name="シード順位あ">[2]ｼｰﾄﾞ!#REF!</definedName>
    <definedName name="シード順位訂正前" localSheetId="5">[1]ｼｰﾄﾞ!#REF!</definedName>
    <definedName name="シード順位訂正前">ｼｰﾄﾞ!#REF!</definedName>
    <definedName name="シード順位表参照範囲">ｼｰﾄﾞ!$A$10:$H$48</definedName>
    <definedName name="シード順位表番号列">ｼｰﾄﾞ!$B$10:$B$48</definedName>
    <definedName name="プール数" localSheetId="5">#REF!</definedName>
    <definedName name="プール数">#REF!</definedName>
    <definedName name="決勝進出者名簿" localSheetId="5">#REF!</definedName>
    <definedName name="決勝進出者名簿">#REF!</definedName>
    <definedName name="最終順位名簿" localSheetId="5">#REF!</definedName>
    <definedName name="最終順位名簿">#REF!</definedName>
    <definedName name="参照ファイル名" localSheetId="5">#REF!</definedName>
    <definedName name="参照ファイル名">#REF!</definedName>
    <definedName name="順位">[2]ｼｰﾄﾞ!#REF!</definedName>
    <definedName name="勝率">ｼｰﾄﾞ!#REF!</definedName>
    <definedName name="先頭行" localSheetId="5">#REF!</definedName>
    <definedName name="先頭行">#REF!</definedName>
    <definedName name="選手数" localSheetId="5">#REF!</definedName>
    <definedName name="選手数">#REF!</definedName>
    <definedName name="訂正前シード順位表番号列" localSheetId="5">#REF!</definedName>
    <definedName name="訂正前シード順位表番号列">#REF!</definedName>
    <definedName name="突数率" localSheetId="5">[1]ｼｰﾄﾞ!#REF!</definedName>
    <definedName name="突数率">ｼｰﾄﾞ!#REF!</definedName>
    <definedName name="被突率" localSheetId="5">[1]ｼｰﾄﾞ!#REF!</definedName>
    <definedName name="被突率">ｼｰﾄﾞ!#REF!</definedName>
    <definedName name="名簿" localSheetId="5">[1]名簿!$A$5:$E$20</definedName>
    <definedName name="名簿">名簿!$A$5:$E$20</definedName>
    <definedName name="予選０１Ｐ">'予選 Ｐ'!$C$5:$F$10</definedName>
    <definedName name="予選０２Ｐ">'予選 Ｐ'!$C$11:$F$16</definedName>
    <definedName name="予選０３Ｐ">'予選 Ｐ'!$C$17:$F$22</definedName>
    <definedName name="予選０４Ｐ">'予選 Ｐ'!$C$23:$F$28</definedName>
    <definedName name="予選０５Ｐ" localSheetId="5">'[1]予選 Ｐ'!#REF!</definedName>
    <definedName name="予選０５Ｐ">'予選 Ｐ'!#REF!</definedName>
    <definedName name="予選０６Ｐ" localSheetId="5">'[1]予選 Ｐ'!#REF!</definedName>
    <definedName name="予選０６Ｐ">'予選 Ｐ'!#REF!</definedName>
    <definedName name="予選０７Ｐ" localSheetId="5">'[1]予選 Ｐ'!#REF!</definedName>
    <definedName name="予選０７Ｐ">'予選 Ｐ'!#REF!</definedName>
    <definedName name="予選０８Ｐ" localSheetId="5">'[1]予選 Ｐ'!#REF!</definedName>
    <definedName name="予選０８Ｐ">'予選 Ｐ'!#REF!</definedName>
    <definedName name="予選０９Ｐ" localSheetId="5">'[1]予選 Ｐ'!#REF!</definedName>
    <definedName name="予選０９Ｐ">'予選 Ｐ'!#REF!</definedName>
    <definedName name="予選１０Ｐ" localSheetId="5">'[1]予選 Ｐ'!#REF!</definedName>
    <definedName name="予選１０Ｐ">'予選 Ｐ'!#REF!</definedName>
    <definedName name="予選１１Ｐ" localSheetId="5">'[1]予選 Ｐ'!#REF!</definedName>
    <definedName name="予選１１Ｐ">'予選 Ｐ'!#REF!</definedName>
    <definedName name="予選１２Ｐ" localSheetId="5">'[1]予選 Ｐ'!#REF!</definedName>
    <definedName name="予選１２Ｐ">'予選 Ｐ'!#REF!</definedName>
    <definedName name="予選１３Ｐ" localSheetId="5">'[1]予選 Ｐ'!#REF!</definedName>
    <definedName name="予選１３Ｐ">'予選 Ｐ'!#REF!</definedName>
    <definedName name="予選１４Ｐ" localSheetId="5">'[1]予選 Ｐ'!#REF!</definedName>
    <definedName name="予選１４Ｐ">'予選 Ｐ'!#REF!</definedName>
    <definedName name="予選１５Ｐ" localSheetId="5">'[1]予選 Ｐ'!#REF!</definedName>
    <definedName name="予選１５Ｐ">'予選 Ｐ'!#REF!</definedName>
    <definedName name="予選１６Ｐ" localSheetId="5">'[1]予選 Ｐ'!#REF!</definedName>
    <definedName name="予選１６Ｐ">'予選 Ｐ'!#REF!</definedName>
    <definedName name="予選Ｐ行数" localSheetId="5">#REF!</definedName>
    <definedName name="予選Ｐ行数">#REF!</definedName>
  </definedNames>
  <calcPr calcId="152511"/>
</workbook>
</file>

<file path=xl/calcChain.xml><?xml version="1.0" encoding="utf-8"?>
<calcChain xmlns="http://schemas.openxmlformats.org/spreadsheetml/2006/main">
  <c r="A173" i="17" l="1"/>
  <c r="A172" i="17"/>
  <c r="A116" i="17"/>
  <c r="A115" i="17"/>
  <c r="A59" i="17"/>
  <c r="A58" i="17"/>
  <c r="E2" i="9" l="1"/>
  <c r="A1" i="26" l="1"/>
  <c r="A2" i="27" l="1"/>
  <c r="A1" i="27"/>
  <c r="K10" i="27"/>
  <c r="K6" i="27"/>
  <c r="V5" i="1" l="1"/>
  <c r="T5" i="1"/>
  <c r="P5" i="1"/>
  <c r="O5" i="1"/>
  <c r="N5" i="1"/>
  <c r="F2" i="27"/>
  <c r="A9" i="26" l="1"/>
  <c r="A15" i="26"/>
  <c r="A21" i="26"/>
  <c r="A3" i="26"/>
  <c r="Q10" i="1" l="1"/>
  <c r="P10" i="1"/>
  <c r="O10" i="1"/>
  <c r="N10" i="1"/>
  <c r="M10" i="1"/>
  <c r="Z10" i="1"/>
  <c r="X5" i="1"/>
  <c r="X6" i="1"/>
  <c r="X7" i="1"/>
  <c r="X8" i="1"/>
  <c r="X9" i="1"/>
  <c r="W10" i="1"/>
  <c r="V10" i="1"/>
  <c r="U10" i="1"/>
  <c r="T10" i="1"/>
  <c r="S10" i="1"/>
  <c r="T9" i="1"/>
  <c r="U9" i="1"/>
  <c r="V9" i="1"/>
  <c r="N9" i="1"/>
  <c r="O9" i="1"/>
  <c r="P9" i="1"/>
  <c r="Z9" i="1"/>
  <c r="T8" i="1"/>
  <c r="U8" i="1"/>
  <c r="N8" i="1"/>
  <c r="O8" i="1"/>
  <c r="Z8" i="1"/>
  <c r="T7" i="1"/>
  <c r="N7" i="1"/>
  <c r="Z7" i="1"/>
  <c r="S12" i="1"/>
  <c r="S13" i="1"/>
  <c r="S14" i="1"/>
  <c r="S15" i="1"/>
  <c r="S16" i="1"/>
  <c r="M12" i="1"/>
  <c r="Z12" i="1"/>
  <c r="T13" i="1"/>
  <c r="T14" i="1"/>
  <c r="T15" i="1"/>
  <c r="T16" i="1"/>
  <c r="M13" i="1"/>
  <c r="N13" i="1"/>
  <c r="Z13" i="1"/>
  <c r="U14" i="1"/>
  <c r="U15" i="1"/>
  <c r="U16" i="1"/>
  <c r="M14" i="1"/>
  <c r="N14" i="1"/>
  <c r="O14" i="1"/>
  <c r="Z14" i="1"/>
  <c r="V15" i="1"/>
  <c r="V16" i="1"/>
  <c r="M15" i="1"/>
  <c r="N15" i="1"/>
  <c r="O15" i="1"/>
  <c r="P15" i="1"/>
  <c r="Z15" i="1"/>
  <c r="W16" i="1"/>
  <c r="M16" i="1"/>
  <c r="N16" i="1"/>
  <c r="O16" i="1"/>
  <c r="P16" i="1"/>
  <c r="Q16" i="1"/>
  <c r="Z16" i="1"/>
  <c r="S18" i="1"/>
  <c r="S19" i="1"/>
  <c r="S20" i="1"/>
  <c r="S21" i="1"/>
  <c r="S22" i="1"/>
  <c r="M18" i="1"/>
  <c r="Z18" i="1"/>
  <c r="T19" i="1"/>
  <c r="T20" i="1"/>
  <c r="T21" i="1"/>
  <c r="T22" i="1"/>
  <c r="M19" i="1"/>
  <c r="N19" i="1"/>
  <c r="Z19" i="1"/>
  <c r="U22" i="1"/>
  <c r="U21" i="1"/>
  <c r="U20" i="1"/>
  <c r="M20" i="1"/>
  <c r="N20" i="1"/>
  <c r="O20" i="1"/>
  <c r="Z20" i="1"/>
  <c r="V21" i="1"/>
  <c r="V22" i="1"/>
  <c r="M21" i="1"/>
  <c r="N21" i="1"/>
  <c r="O21" i="1"/>
  <c r="P21" i="1"/>
  <c r="Z21" i="1"/>
  <c r="W22" i="1"/>
  <c r="M22" i="1"/>
  <c r="N22" i="1"/>
  <c r="O22" i="1"/>
  <c r="P22" i="1"/>
  <c r="Q22" i="1"/>
  <c r="Z22" i="1"/>
  <c r="S24" i="1"/>
  <c r="S25" i="1"/>
  <c r="S26" i="1"/>
  <c r="S27" i="1"/>
  <c r="S28" i="1"/>
  <c r="M24" i="1"/>
  <c r="Z24" i="1"/>
  <c r="T28" i="1"/>
  <c r="T27" i="1"/>
  <c r="T26" i="1"/>
  <c r="T25" i="1"/>
  <c r="M25" i="1"/>
  <c r="N25" i="1"/>
  <c r="Z25" i="1"/>
  <c r="U28" i="1"/>
  <c r="U27" i="1"/>
  <c r="U26" i="1"/>
  <c r="M26" i="1"/>
  <c r="N26" i="1"/>
  <c r="O26" i="1"/>
  <c r="Z26" i="1"/>
  <c r="V27" i="1"/>
  <c r="V28" i="1"/>
  <c r="M27" i="1"/>
  <c r="N27" i="1"/>
  <c r="O27" i="1"/>
  <c r="P27" i="1"/>
  <c r="Z27" i="1"/>
  <c r="W28" i="1"/>
  <c r="M28" i="1"/>
  <c r="N28" i="1"/>
  <c r="O28" i="1"/>
  <c r="P28" i="1"/>
  <c r="Q28" i="1"/>
  <c r="Z28" i="1"/>
  <c r="R16" i="1"/>
  <c r="X11" i="1"/>
  <c r="X12" i="1"/>
  <c r="X13" i="1"/>
  <c r="X14" i="1"/>
  <c r="X15" i="1"/>
  <c r="R22" i="1"/>
  <c r="X17" i="1"/>
  <c r="X18" i="1"/>
  <c r="X19" i="1"/>
  <c r="X20" i="1"/>
  <c r="X21" i="1"/>
  <c r="R28" i="1"/>
  <c r="X23" i="1"/>
  <c r="X24" i="1"/>
  <c r="X25" i="1"/>
  <c r="X26" i="1"/>
  <c r="X27" i="1"/>
  <c r="U5" i="1"/>
  <c r="Z5" i="1"/>
  <c r="W17" i="1"/>
  <c r="W18" i="1"/>
  <c r="W19" i="1"/>
  <c r="W20" i="1"/>
  <c r="T17" i="1"/>
  <c r="U17" i="1"/>
  <c r="V17" i="1"/>
  <c r="Q17" i="1"/>
  <c r="N17" i="1"/>
  <c r="O17" i="1"/>
  <c r="P17" i="1"/>
  <c r="Z17" i="1"/>
  <c r="V18" i="1"/>
  <c r="U18" i="1"/>
  <c r="Q18" i="1"/>
  <c r="P18" i="1"/>
  <c r="AP18" i="1" s="1"/>
  <c r="O18" i="1"/>
  <c r="V19" i="1"/>
  <c r="Q19" i="1"/>
  <c r="AQ19" i="1" s="1"/>
  <c r="P19" i="1"/>
  <c r="Q20" i="1"/>
  <c r="S6" i="1"/>
  <c r="S7" i="1"/>
  <c r="S8" i="1"/>
  <c r="S9" i="1"/>
  <c r="M6" i="1"/>
  <c r="Z6" i="1"/>
  <c r="V7" i="1"/>
  <c r="P7" i="1"/>
  <c r="M7" i="1"/>
  <c r="M8" i="1"/>
  <c r="AP5" i="1" s="1"/>
  <c r="M9" i="1"/>
  <c r="N11" i="1"/>
  <c r="O11" i="1"/>
  <c r="Q11" i="1"/>
  <c r="AQ11" i="1" s="1"/>
  <c r="Z11" i="1"/>
  <c r="T11" i="1"/>
  <c r="U11" i="1"/>
  <c r="W11" i="1"/>
  <c r="W12" i="1"/>
  <c r="Q12" i="1"/>
  <c r="W13" i="1"/>
  <c r="V13" i="1"/>
  <c r="Q13" i="1"/>
  <c r="AQ13" i="1" s="1"/>
  <c r="P13" i="1"/>
  <c r="W14" i="1"/>
  <c r="Q14" i="1"/>
  <c r="AP15" i="1" s="1"/>
  <c r="W5" i="1"/>
  <c r="W6" i="1"/>
  <c r="W7" i="1"/>
  <c r="W8" i="1"/>
  <c r="Q5" i="1"/>
  <c r="Q6" i="1"/>
  <c r="Q7" i="1"/>
  <c r="AQ7" i="1" s="1"/>
  <c r="Q8" i="1"/>
  <c r="A5" i="9"/>
  <c r="F13" i="1" s="1"/>
  <c r="A6" i="9"/>
  <c r="A7" i="11" s="1"/>
  <c r="L7" i="11" s="1"/>
  <c r="A7" i="9"/>
  <c r="A8" i="11" s="1"/>
  <c r="L8" i="11" s="1"/>
  <c r="A8" i="9"/>
  <c r="A9" i="11" s="1"/>
  <c r="L9" i="11" s="1"/>
  <c r="A9" i="9"/>
  <c r="A10" i="11" s="1"/>
  <c r="L10" i="11" s="1"/>
  <c r="A10" i="9"/>
  <c r="A11" i="11" s="1"/>
  <c r="L11" i="11" s="1"/>
  <c r="A11" i="9"/>
  <c r="A12" i="11" s="1"/>
  <c r="L12" i="11" s="1"/>
  <c r="A12" i="9"/>
  <c r="A13" i="11" s="1"/>
  <c r="L13" i="11" s="1"/>
  <c r="A13" i="9"/>
  <c r="A14" i="11" s="1"/>
  <c r="L14" i="11" s="1"/>
  <c r="A14" i="9"/>
  <c r="A15" i="11" s="1"/>
  <c r="L15" i="11" s="1"/>
  <c r="A15" i="9"/>
  <c r="A16" i="9"/>
  <c r="A17" i="11" s="1"/>
  <c r="L17" i="11" s="1"/>
  <c r="A17" i="9"/>
  <c r="A18" i="11" s="1"/>
  <c r="L18" i="11" s="1"/>
  <c r="A18" i="9"/>
  <c r="A19" i="11" s="1"/>
  <c r="L19" i="11" s="1"/>
  <c r="A19" i="9"/>
  <c r="A20" i="11" s="1"/>
  <c r="L20" i="11" s="1"/>
  <c r="A20" i="9"/>
  <c r="A21" i="11" s="1"/>
  <c r="L21" i="11" s="1"/>
  <c r="A16" i="11"/>
  <c r="L16" i="11" s="1"/>
  <c r="R5" i="1"/>
  <c r="O6" i="1"/>
  <c r="P6" i="1"/>
  <c r="U6" i="1"/>
  <c r="V6" i="1"/>
  <c r="P11" i="1"/>
  <c r="V11" i="1"/>
  <c r="U12" i="1"/>
  <c r="V12" i="1"/>
  <c r="O12" i="1"/>
  <c r="AO12" i="1" s="1"/>
  <c r="P12" i="1"/>
  <c r="AN14" i="1" s="1"/>
  <c r="N23" i="1"/>
  <c r="O23" i="1"/>
  <c r="P23" i="1"/>
  <c r="Q23" i="1"/>
  <c r="Z23" i="1"/>
  <c r="T23" i="1"/>
  <c r="U23" i="1"/>
  <c r="V23" i="1"/>
  <c r="W23" i="1"/>
  <c r="V25" i="1"/>
  <c r="W25" i="1"/>
  <c r="U24" i="1"/>
  <c r="V24" i="1"/>
  <c r="W24" i="1"/>
  <c r="O24" i="1"/>
  <c r="AO24" i="1" s="1"/>
  <c r="P24" i="1"/>
  <c r="R24" i="1"/>
  <c r="AN28" i="1" s="1"/>
  <c r="Q24" i="1"/>
  <c r="Q25" i="1"/>
  <c r="P25" i="1"/>
  <c r="AP25" i="1" s="1"/>
  <c r="Q26" i="1"/>
  <c r="W26" i="1"/>
  <c r="R6" i="1"/>
  <c r="AN10" i="1" s="1"/>
  <c r="R7" i="1"/>
  <c r="AR7" i="1" s="1"/>
  <c r="R8" i="1"/>
  <c r="R11" i="1"/>
  <c r="R12" i="1"/>
  <c r="AR12" i="1" s="1"/>
  <c r="R13" i="1"/>
  <c r="AO16" i="1" s="1"/>
  <c r="R14" i="1"/>
  <c r="R17" i="1"/>
  <c r="AM22" i="1" s="1"/>
  <c r="R18" i="1"/>
  <c r="AN22" i="1" s="1"/>
  <c r="R19" i="1"/>
  <c r="R20" i="1"/>
  <c r="R23" i="1"/>
  <c r="R25" i="1"/>
  <c r="R26" i="1"/>
  <c r="AP28" i="1" s="1"/>
  <c r="G3" i="11"/>
  <c r="A3" i="11"/>
  <c r="A2" i="11"/>
  <c r="A1" i="11"/>
  <c r="B180" i="17"/>
  <c r="B181" i="17"/>
  <c r="B179" i="17"/>
  <c r="B123" i="17"/>
  <c r="B124" i="17"/>
  <c r="B122" i="17"/>
  <c r="B66" i="17"/>
  <c r="B67" i="17"/>
  <c r="B65" i="17"/>
  <c r="B9" i="17"/>
  <c r="B10" i="17"/>
  <c r="B8" i="17"/>
  <c r="K174" i="17"/>
  <c r="A174" i="17"/>
  <c r="K117" i="17"/>
  <c r="A117" i="17"/>
  <c r="K60" i="17"/>
  <c r="A60" i="17"/>
  <c r="K3" i="17"/>
  <c r="A3" i="17"/>
  <c r="A2" i="17"/>
  <c r="A1" i="17"/>
  <c r="A3" i="1"/>
  <c r="A2" i="1"/>
  <c r="AB3" i="1"/>
  <c r="R21" i="1"/>
  <c r="R27" i="1"/>
  <c r="R9" i="1"/>
  <c r="AQ10" i="1" s="1"/>
  <c r="R15" i="1"/>
  <c r="A28" i="1"/>
  <c r="A27" i="1"/>
  <c r="A26" i="1"/>
  <c r="A25" i="1"/>
  <c r="A24" i="1"/>
  <c r="A22" i="1"/>
  <c r="A21" i="1"/>
  <c r="A20" i="1"/>
  <c r="A19" i="1"/>
  <c r="A17" i="26" s="1"/>
  <c r="A18" i="1"/>
  <c r="A16" i="1"/>
  <c r="A15" i="1"/>
  <c r="A14" i="1"/>
  <c r="A13" i="1"/>
  <c r="A12" i="1"/>
  <c r="B178" i="17"/>
  <c r="B177" i="17"/>
  <c r="B176" i="17"/>
  <c r="A176" i="17"/>
  <c r="B121" i="17"/>
  <c r="B120" i="17"/>
  <c r="B119" i="17"/>
  <c r="A119" i="17"/>
  <c r="B64" i="17"/>
  <c r="B63" i="17"/>
  <c r="B62" i="17"/>
  <c r="A62" i="17"/>
  <c r="A10" i="1"/>
  <c r="A9" i="1"/>
  <c r="A8" i="1"/>
  <c r="A7" i="1"/>
  <c r="A6" i="1"/>
  <c r="B7" i="17"/>
  <c r="B6" i="17"/>
  <c r="B5" i="17"/>
  <c r="A5" i="17"/>
  <c r="R10" i="1"/>
  <c r="A1" i="1"/>
  <c r="AR26" i="1"/>
  <c r="AN17" i="1" l="1"/>
  <c r="AP6" i="1"/>
  <c r="E20" i="1"/>
  <c r="F19" i="1"/>
  <c r="C19" i="1" s="1"/>
  <c r="B17" i="26" s="1"/>
  <c r="E18" i="1"/>
  <c r="D120" i="17" s="1"/>
  <c r="F23" i="1"/>
  <c r="C23" i="1" s="1"/>
  <c r="B21" i="26" s="1"/>
  <c r="E19" i="1"/>
  <c r="D121" i="17" s="1"/>
  <c r="F5" i="1"/>
  <c r="C5" i="1" s="1"/>
  <c r="B3" i="26" s="1"/>
  <c r="E27" i="1"/>
  <c r="C25" i="26" s="1"/>
  <c r="C176" i="17"/>
  <c r="F9" i="1"/>
  <c r="D7" i="26" s="1"/>
  <c r="F14" i="1"/>
  <c r="E65" i="17" s="1"/>
  <c r="E6" i="1"/>
  <c r="C4" i="26" s="1"/>
  <c r="F24" i="1"/>
  <c r="C24" i="1" s="1"/>
  <c r="F26" i="1"/>
  <c r="E179" i="17" s="1"/>
  <c r="F7" i="1"/>
  <c r="C7" i="1" s="1"/>
  <c r="AR21" i="1"/>
  <c r="AN13" i="1"/>
  <c r="AN7" i="1"/>
  <c r="AP9" i="1"/>
  <c r="AN9" i="1"/>
  <c r="AM25" i="1"/>
  <c r="AR5" i="1"/>
  <c r="AN19" i="1"/>
  <c r="AQ18" i="1"/>
  <c r="AR24" i="1"/>
  <c r="AO10" i="1"/>
  <c r="AR14" i="1"/>
  <c r="AR8" i="1"/>
  <c r="AQ26" i="1"/>
  <c r="AA24" i="1"/>
  <c r="AB24" i="1" s="1"/>
  <c r="AC7" i="1"/>
  <c r="AA11" i="1"/>
  <c r="AB11" i="1" s="1"/>
  <c r="AD16" i="1"/>
  <c r="AP23" i="1"/>
  <c r="AM24" i="1"/>
  <c r="AO9" i="1"/>
  <c r="AQ16" i="1"/>
  <c r="AA10" i="1"/>
  <c r="AB10" i="1" s="1"/>
  <c r="AM10" i="1"/>
  <c r="E5" i="1"/>
  <c r="C3" i="26" s="1"/>
  <c r="E22" i="1"/>
  <c r="D124" i="17" s="1"/>
  <c r="A6" i="11"/>
  <c r="F25" i="1"/>
  <c r="D23" i="26" s="1"/>
  <c r="F17" i="1"/>
  <c r="D15" i="26" s="1"/>
  <c r="E7" i="1"/>
  <c r="C5" i="26" s="1"/>
  <c r="E24" i="1"/>
  <c r="C22" i="26" s="1"/>
  <c r="F21" i="1"/>
  <c r="D19" i="26" s="1"/>
  <c r="E23" i="1"/>
  <c r="C21" i="26" s="1"/>
  <c r="F27" i="1"/>
  <c r="E180" i="17" s="1"/>
  <c r="F6" i="1"/>
  <c r="D4" i="26" s="1"/>
  <c r="F11" i="1"/>
  <c r="D9" i="26" s="1"/>
  <c r="AQ12" i="1"/>
  <c r="AN15" i="1"/>
  <c r="AO8" i="1"/>
  <c r="AP7" i="1"/>
  <c r="AR27" i="1"/>
  <c r="AD10" i="1"/>
  <c r="A18" i="26"/>
  <c r="A122" i="17"/>
  <c r="AM6" i="1"/>
  <c r="AN5" i="1"/>
  <c r="AD5" i="1"/>
  <c r="AC5" i="1"/>
  <c r="AC23" i="1"/>
  <c r="AC22" i="1"/>
  <c r="AR9" i="1"/>
  <c r="AQ8" i="1"/>
  <c r="AO5" i="1"/>
  <c r="AQ6" i="1"/>
  <c r="AA6" i="1"/>
  <c r="AB6" i="1" s="1"/>
  <c r="AM28" i="1"/>
  <c r="AQ20" i="1"/>
  <c r="AC20" i="1"/>
  <c r="AC18" i="1"/>
  <c r="AM13" i="1"/>
  <c r="AM7" i="1"/>
  <c r="AN8" i="1"/>
  <c r="AP16" i="1"/>
  <c r="AP10" i="1"/>
  <c r="AN16" i="1"/>
  <c r="AO18" i="1"/>
  <c r="AC11" i="1"/>
  <c r="AD6" i="1"/>
  <c r="AD28" i="1"/>
  <c r="AE28" i="1" s="1"/>
  <c r="AA28" i="1"/>
  <c r="AD22" i="1"/>
  <c r="AP27" i="1"/>
  <c r="AN27" i="1"/>
  <c r="AN26" i="1"/>
  <c r="AN25" i="1"/>
  <c r="AR17" i="1"/>
  <c r="AO21" i="1"/>
  <c r="AP17" i="1"/>
  <c r="AC16" i="1"/>
  <c r="AO6" i="1"/>
  <c r="AD7" i="1"/>
  <c r="AR6" i="1"/>
  <c r="A6" i="17"/>
  <c r="A4" i="26"/>
  <c r="A8" i="17"/>
  <c r="A6" i="26"/>
  <c r="A10" i="17"/>
  <c r="A8" i="26"/>
  <c r="A64" i="17"/>
  <c r="A11" i="26"/>
  <c r="A66" i="17"/>
  <c r="A13" i="26"/>
  <c r="A120" i="17"/>
  <c r="A16" i="26"/>
  <c r="A123" i="17"/>
  <c r="A19" i="26"/>
  <c r="A177" i="17"/>
  <c r="A22" i="26"/>
  <c r="A179" i="17"/>
  <c r="A24" i="26"/>
  <c r="A181" i="17"/>
  <c r="A26" i="26"/>
  <c r="A7" i="17"/>
  <c r="A5" i="26"/>
  <c r="A9" i="17"/>
  <c r="A7" i="26"/>
  <c r="A63" i="17"/>
  <c r="A10" i="26"/>
  <c r="A65" i="17"/>
  <c r="A12" i="26"/>
  <c r="A67" i="17"/>
  <c r="A14" i="26"/>
  <c r="A121" i="17"/>
  <c r="A124" i="17"/>
  <c r="A20" i="26"/>
  <c r="A178" i="17"/>
  <c r="A23" i="26"/>
  <c r="A180" i="17"/>
  <c r="A25" i="26"/>
  <c r="C25" i="1"/>
  <c r="C9" i="1"/>
  <c r="C16" i="26"/>
  <c r="C17" i="26"/>
  <c r="E64" i="17"/>
  <c r="D11" i="26"/>
  <c r="D122" i="17"/>
  <c r="C18" i="26"/>
  <c r="D180" i="17"/>
  <c r="D17" i="26"/>
  <c r="E14" i="1"/>
  <c r="F20" i="1"/>
  <c r="F8" i="1"/>
  <c r="E17" i="1"/>
  <c r="E12" i="1"/>
  <c r="E25" i="1"/>
  <c r="E15" i="1"/>
  <c r="F18" i="1"/>
  <c r="E120" i="17" s="1"/>
  <c r="E21" i="1"/>
  <c r="E5" i="17"/>
  <c r="E26" i="1"/>
  <c r="E8" i="1"/>
  <c r="F15" i="1"/>
  <c r="E11" i="1"/>
  <c r="E13" i="1"/>
  <c r="E9" i="1"/>
  <c r="F12" i="1"/>
  <c r="E10" i="1"/>
  <c r="F16" i="1"/>
  <c r="D14" i="26" s="1"/>
  <c r="AR23" i="1"/>
  <c r="AO28" i="1"/>
  <c r="AQ24" i="1"/>
  <c r="AP24" i="1"/>
  <c r="AQ28" i="1"/>
  <c r="AC28" i="1"/>
  <c r="AA22" i="1"/>
  <c r="AB22" i="1" s="1"/>
  <c r="AC21" i="1"/>
  <c r="AP22" i="1"/>
  <c r="AD20" i="1"/>
  <c r="AD21" i="1"/>
  <c r="AE21" i="1" s="1"/>
  <c r="AM12" i="1"/>
  <c r="AR11" i="1"/>
  <c r="AA16" i="1"/>
  <c r="AB16" i="1" s="1"/>
  <c r="AC10" i="1"/>
  <c r="AO26" i="1"/>
  <c r="AA23" i="1"/>
  <c r="AB23" i="1" s="1"/>
  <c r="AO27" i="1"/>
  <c r="AQ23" i="1"/>
  <c r="AM26" i="1"/>
  <c r="AA25" i="1"/>
  <c r="AB25" i="1" s="1"/>
  <c r="AN23" i="1"/>
  <c r="AQ17" i="1"/>
  <c r="AP19" i="1"/>
  <c r="AM19" i="1"/>
  <c r="AA18" i="1"/>
  <c r="AB18" i="1" s="1"/>
  <c r="AR18" i="1"/>
  <c r="AQ22" i="1"/>
  <c r="AR20" i="1"/>
  <c r="AM20" i="1"/>
  <c r="AA19" i="1"/>
  <c r="AB19" i="1" s="1"/>
  <c r="AA17" i="1"/>
  <c r="AB17" i="1" s="1"/>
  <c r="AM18" i="1"/>
  <c r="AC17" i="1"/>
  <c r="AN20" i="1"/>
  <c r="AM14" i="1"/>
  <c r="AR13" i="1"/>
  <c r="AQ14" i="1"/>
  <c r="AM16" i="1"/>
  <c r="AA15" i="1"/>
  <c r="AB15" i="1" s="1"/>
  <c r="AA12" i="1"/>
  <c r="AB12" i="1" s="1"/>
  <c r="AO15" i="1"/>
  <c r="AD13" i="1"/>
  <c r="AB28" i="1"/>
  <c r="E119" i="17"/>
  <c r="C13" i="1"/>
  <c r="F22" i="1"/>
  <c r="D20" i="26" s="1"/>
  <c r="E16" i="1"/>
  <c r="F28" i="1"/>
  <c r="D26" i="26" s="1"/>
  <c r="F10" i="1"/>
  <c r="D8" i="26" s="1"/>
  <c r="E28" i="1"/>
  <c r="AM27" i="1"/>
  <c r="AO23" i="1"/>
  <c r="AD23" i="1"/>
  <c r="AE23" i="1" s="1"/>
  <c r="AD24" i="1"/>
  <c r="AQ25" i="1"/>
  <c r="AD25" i="1"/>
  <c r="AN21" i="1"/>
  <c r="AD18" i="1"/>
  <c r="AP21" i="1"/>
  <c r="AA20" i="1"/>
  <c r="AB20" i="1" s="1"/>
  <c r="AC15" i="1"/>
  <c r="AM15" i="1"/>
  <c r="AO11" i="1"/>
  <c r="AD12" i="1"/>
  <c r="AC14" i="1"/>
  <c r="AD11" i="1"/>
  <c r="AC12" i="1"/>
  <c r="AC9" i="1"/>
  <c r="AC8" i="1"/>
  <c r="AM9" i="1"/>
  <c r="AM8" i="1"/>
  <c r="AC6" i="1"/>
  <c r="AD27" i="1"/>
  <c r="AD26" i="1"/>
  <c r="AR25" i="1"/>
  <c r="AA26" i="1"/>
  <c r="AB26" i="1" s="1"/>
  <c r="AC26" i="1"/>
  <c r="AO17" i="1"/>
  <c r="AR19" i="1"/>
  <c r="AO22" i="1"/>
  <c r="AO20" i="1"/>
  <c r="AC19" i="1"/>
  <c r="AM21" i="1"/>
  <c r="AD19" i="1"/>
  <c r="AE19" i="1" s="1"/>
  <c r="AD14" i="1"/>
  <c r="AE14" i="1" s="1"/>
  <c r="AA13" i="1"/>
  <c r="AB13" i="1" s="1"/>
  <c r="AA14" i="1"/>
  <c r="AB14" i="1" s="1"/>
  <c r="AN11" i="1"/>
  <c r="AP11" i="1"/>
  <c r="AP12" i="1"/>
  <c r="AP13" i="1"/>
  <c r="AO14" i="1"/>
  <c r="AC13" i="1"/>
  <c r="AD15" i="1"/>
  <c r="AA7" i="1"/>
  <c r="AB7" i="1" s="1"/>
  <c r="AD9" i="1"/>
  <c r="AE9" i="1" s="1"/>
  <c r="AD8" i="1"/>
  <c r="AE8" i="1" s="1"/>
  <c r="AQ5" i="1"/>
  <c r="AA5" i="1"/>
  <c r="AB5" i="1" s="1"/>
  <c r="AA9" i="1"/>
  <c r="AB9" i="1" s="1"/>
  <c r="AH9" i="1" s="1"/>
  <c r="AA27" i="1"/>
  <c r="AB27" i="1" s="1"/>
  <c r="E9" i="17"/>
  <c r="AR15" i="1"/>
  <c r="AC24" i="1"/>
  <c r="AC25" i="1"/>
  <c r="AA8" i="1"/>
  <c r="AB8" i="1" s="1"/>
  <c r="AC27" i="1"/>
  <c r="AA21" i="1"/>
  <c r="AB21" i="1" s="1"/>
  <c r="AD17" i="1"/>
  <c r="AE17" i="1" s="1"/>
  <c r="D5" i="26" l="1"/>
  <c r="D24" i="26"/>
  <c r="D6" i="17"/>
  <c r="C121" i="17"/>
  <c r="E121" i="17"/>
  <c r="E176" i="17"/>
  <c r="C5" i="17"/>
  <c r="C26" i="1"/>
  <c r="C179" i="17" s="1"/>
  <c r="D3" i="26"/>
  <c r="D21" i="26"/>
  <c r="D22" i="26"/>
  <c r="AE27" i="1"/>
  <c r="C64" i="17"/>
  <c r="B11" i="26"/>
  <c r="B24" i="26"/>
  <c r="C178" i="17"/>
  <c r="B23" i="26"/>
  <c r="C177" i="17"/>
  <c r="B22" i="26"/>
  <c r="E123" i="17"/>
  <c r="C14" i="1"/>
  <c r="E177" i="17"/>
  <c r="D7" i="17"/>
  <c r="D12" i="26"/>
  <c r="C9" i="17"/>
  <c r="B7" i="26"/>
  <c r="AE20" i="1"/>
  <c r="AH20" i="1" s="1"/>
  <c r="AE7" i="1"/>
  <c r="AE22" i="1"/>
  <c r="AE5" i="1"/>
  <c r="C7" i="17"/>
  <c r="B5" i="26"/>
  <c r="E7" i="17"/>
  <c r="C20" i="26"/>
  <c r="D25" i="26"/>
  <c r="AE15" i="1"/>
  <c r="AE26" i="1"/>
  <c r="AE11" i="1"/>
  <c r="AH11" i="1" s="1"/>
  <c r="AE12" i="1"/>
  <c r="AH12" i="1" s="1"/>
  <c r="AE18" i="1"/>
  <c r="AE25" i="1"/>
  <c r="AE24" i="1"/>
  <c r="AE6" i="1"/>
  <c r="AH6" i="1" s="1"/>
  <c r="AE10" i="1"/>
  <c r="AE16" i="1"/>
  <c r="AE13" i="1"/>
  <c r="AH13" i="1" s="1"/>
  <c r="L6" i="11"/>
  <c r="AH7" i="1"/>
  <c r="E6" i="17"/>
  <c r="AH17" i="1"/>
  <c r="AH15" i="1"/>
  <c r="AH18" i="1"/>
  <c r="D5" i="17"/>
  <c r="D176" i="17"/>
  <c r="AH5" i="1"/>
  <c r="AH26" i="1"/>
  <c r="AH19" i="1"/>
  <c r="AH23" i="1"/>
  <c r="AH22" i="1"/>
  <c r="AH8" i="1"/>
  <c r="AH14" i="1"/>
  <c r="AH27" i="1"/>
  <c r="AH25" i="1"/>
  <c r="AH24" i="1"/>
  <c r="C21" i="1"/>
  <c r="C16" i="1"/>
  <c r="C17" i="1"/>
  <c r="AH21" i="1"/>
  <c r="E178" i="17"/>
  <c r="C27" i="1"/>
  <c r="AH28" i="1"/>
  <c r="AH10" i="1"/>
  <c r="AH16" i="1"/>
  <c r="E62" i="17"/>
  <c r="D177" i="17"/>
  <c r="C6" i="1"/>
  <c r="C11" i="1"/>
  <c r="D9" i="17"/>
  <c r="C7" i="26"/>
  <c r="D62" i="17"/>
  <c r="C9" i="26"/>
  <c r="D8" i="17"/>
  <c r="C6" i="26"/>
  <c r="D123" i="17"/>
  <c r="C19" i="26"/>
  <c r="D66" i="17"/>
  <c r="C13" i="26"/>
  <c r="D119" i="17"/>
  <c r="C15" i="26"/>
  <c r="E8" i="17"/>
  <c r="D6" i="26"/>
  <c r="D181" i="17"/>
  <c r="C26" i="26"/>
  <c r="D67" i="17"/>
  <c r="C14" i="26"/>
  <c r="C8" i="1"/>
  <c r="E67" i="17"/>
  <c r="D10" i="17"/>
  <c r="C8" i="26"/>
  <c r="E63" i="17"/>
  <c r="D10" i="26"/>
  <c r="C12" i="1"/>
  <c r="D64" i="17"/>
  <c r="C11" i="26"/>
  <c r="D13" i="26"/>
  <c r="C15" i="1"/>
  <c r="E66" i="17"/>
  <c r="D179" i="17"/>
  <c r="C24" i="26"/>
  <c r="C18" i="1"/>
  <c r="D16" i="26"/>
  <c r="D178" i="17"/>
  <c r="C23" i="26"/>
  <c r="D63" i="17"/>
  <c r="C10" i="26"/>
  <c r="C20" i="1"/>
  <c r="D18" i="26"/>
  <c r="E122" i="17"/>
  <c r="D65" i="17"/>
  <c r="C12" i="26"/>
  <c r="C28" i="1"/>
  <c r="E181" i="17"/>
  <c r="C10" i="1"/>
  <c r="E10" i="17"/>
  <c r="C22" i="1"/>
  <c r="E124" i="17"/>
  <c r="C181" i="17" l="1"/>
  <c r="C218" i="17" s="1"/>
  <c r="B26" i="26"/>
  <c r="C124" i="17"/>
  <c r="B20" i="26"/>
  <c r="C122" i="17"/>
  <c r="B18" i="26"/>
  <c r="C66" i="17"/>
  <c r="B13" i="26"/>
  <c r="C63" i="17"/>
  <c r="B10" i="26"/>
  <c r="C8" i="17"/>
  <c r="B6" i="26"/>
  <c r="C6" i="17"/>
  <c r="B4" i="26"/>
  <c r="C180" i="17"/>
  <c r="E184" i="17" s="1"/>
  <c r="B25" i="26"/>
  <c r="C67" i="17"/>
  <c r="C106" i="17" s="1"/>
  <c r="D106" i="17" s="1"/>
  <c r="B14" i="26"/>
  <c r="C10" i="17"/>
  <c r="C43" i="17" s="1"/>
  <c r="B8" i="26"/>
  <c r="C120" i="17"/>
  <c r="B16" i="26"/>
  <c r="C62" i="17"/>
  <c r="B9" i="26"/>
  <c r="C119" i="17"/>
  <c r="B15" i="26"/>
  <c r="C123" i="17"/>
  <c r="C155" i="17" s="1"/>
  <c r="B19" i="26"/>
  <c r="C65" i="17"/>
  <c r="B12" i="26"/>
  <c r="C98" i="17"/>
  <c r="E98" i="17" s="1"/>
  <c r="C112" i="17"/>
  <c r="D112" i="17" s="1"/>
  <c r="C100" i="17"/>
  <c r="E100" i="17" s="1"/>
  <c r="C76" i="17"/>
  <c r="D76" i="17" s="1"/>
  <c r="D5" i="1"/>
  <c r="AF5" i="1" s="1"/>
  <c r="C74" i="17"/>
  <c r="E74" i="17" s="1"/>
  <c r="C94" i="17"/>
  <c r="D70" i="17"/>
  <c r="D98" i="17"/>
  <c r="D184" i="17"/>
  <c r="C146" i="17"/>
  <c r="C151" i="17"/>
  <c r="C167" i="17"/>
  <c r="C134" i="17"/>
  <c r="C169" i="17"/>
  <c r="C161" i="17"/>
  <c r="C157" i="17"/>
  <c r="C164" i="17"/>
  <c r="C163" i="17"/>
  <c r="C170" i="17"/>
  <c r="C149" i="17"/>
  <c r="C19" i="17"/>
  <c r="C50" i="17"/>
  <c r="C29" i="17"/>
  <c r="C49" i="17"/>
  <c r="C47" i="17"/>
  <c r="C41" i="17"/>
  <c r="C55" i="17"/>
  <c r="C223" i="17"/>
  <c r="C217" i="17"/>
  <c r="C221" i="17"/>
  <c r="C215" i="17"/>
  <c r="C224" i="17"/>
  <c r="C209" i="17"/>
  <c r="C205" i="17"/>
  <c r="C206" i="17"/>
  <c r="C202" i="17"/>
  <c r="C193" i="17"/>
  <c r="D18" i="1"/>
  <c r="AF18" i="1" s="1"/>
  <c r="D14" i="1"/>
  <c r="AF14" i="1" s="1"/>
  <c r="D25" i="1"/>
  <c r="AF25" i="1" s="1"/>
  <c r="E13" i="17" l="1"/>
  <c r="C203" i="17"/>
  <c r="D203" i="17" s="1"/>
  <c r="C212" i="17"/>
  <c r="E212" i="17" s="1"/>
  <c r="C194" i="17"/>
  <c r="E194" i="17" s="1"/>
  <c r="C211" i="17"/>
  <c r="D211" i="17" s="1"/>
  <c r="C191" i="17"/>
  <c r="D191" i="17" s="1"/>
  <c r="C52" i="17"/>
  <c r="D52" i="17" s="1"/>
  <c r="C26" i="17"/>
  <c r="E26" i="17" s="1"/>
  <c r="C28" i="17"/>
  <c r="D28" i="17" s="1"/>
  <c r="C53" i="17"/>
  <c r="D53" i="17" s="1"/>
  <c r="C32" i="17"/>
  <c r="E32" i="17" s="1"/>
  <c r="C17" i="17"/>
  <c r="E17" i="17" s="1"/>
  <c r="C34" i="17"/>
  <c r="E34" i="17" s="1"/>
  <c r="C137" i="17"/>
  <c r="E137" i="17" s="1"/>
  <c r="C143" i="17"/>
  <c r="E143" i="17" s="1"/>
  <c r="C145" i="17"/>
  <c r="D145" i="17" s="1"/>
  <c r="D100" i="17"/>
  <c r="D13" i="17"/>
  <c r="C97" i="17"/>
  <c r="D97" i="17" s="1"/>
  <c r="C95" i="17"/>
  <c r="E95" i="17" s="1"/>
  <c r="C73" i="17"/>
  <c r="E73" i="17" s="1"/>
  <c r="C109" i="17"/>
  <c r="D109" i="17" s="1"/>
  <c r="C113" i="17"/>
  <c r="C86" i="17"/>
  <c r="E86" i="17" s="1"/>
  <c r="C85" i="17"/>
  <c r="D127" i="17"/>
  <c r="E70" i="17"/>
  <c r="C142" i="17"/>
  <c r="D142" i="17" s="1"/>
  <c r="C208" i="17"/>
  <c r="E208" i="17" s="1"/>
  <c r="C200" i="17"/>
  <c r="E200" i="17" s="1"/>
  <c r="C187" i="17"/>
  <c r="E187" i="17" s="1"/>
  <c r="C196" i="17"/>
  <c r="D196" i="17" s="1"/>
  <c r="C185" i="17"/>
  <c r="E185" i="17" s="1"/>
  <c r="C220" i="17"/>
  <c r="E220" i="17" s="1"/>
  <c r="C188" i="17"/>
  <c r="E188" i="17" s="1"/>
  <c r="C197" i="17"/>
  <c r="D197" i="17" s="1"/>
  <c r="C190" i="17"/>
  <c r="D190" i="17" s="1"/>
  <c r="C199" i="17"/>
  <c r="E199" i="17" s="1"/>
  <c r="C226" i="17"/>
  <c r="D226" i="17" s="1"/>
  <c r="C214" i="17"/>
  <c r="E214" i="17" s="1"/>
  <c r="C227" i="17"/>
  <c r="D227" i="17" s="1"/>
  <c r="C14" i="17"/>
  <c r="D14" i="17" s="1"/>
  <c r="C23" i="17"/>
  <c r="D23" i="17" s="1"/>
  <c r="C38" i="17"/>
  <c r="E38" i="17" s="1"/>
  <c r="C25" i="17"/>
  <c r="D25" i="17" s="1"/>
  <c r="C22" i="17"/>
  <c r="D22" i="17" s="1"/>
  <c r="C46" i="17"/>
  <c r="D46" i="17" s="1"/>
  <c r="C35" i="17"/>
  <c r="E35" i="17" s="1"/>
  <c r="C44" i="17"/>
  <c r="D44" i="17" s="1"/>
  <c r="C16" i="17"/>
  <c r="E16" i="17" s="1"/>
  <c r="C37" i="17"/>
  <c r="E37" i="17" s="1"/>
  <c r="C20" i="17"/>
  <c r="D20" i="17" s="1"/>
  <c r="C56" i="17"/>
  <c r="E56" i="17" s="1"/>
  <c r="C31" i="17"/>
  <c r="D31" i="17" s="1"/>
  <c r="C40" i="17"/>
  <c r="E40" i="17" s="1"/>
  <c r="C148" i="17"/>
  <c r="E148" i="17" s="1"/>
  <c r="C152" i="17"/>
  <c r="E152" i="17" s="1"/>
  <c r="C140" i="17"/>
  <c r="D140" i="17" s="1"/>
  <c r="C133" i="17"/>
  <c r="E133" i="17" s="1"/>
  <c r="C139" i="17"/>
  <c r="E139" i="17" s="1"/>
  <c r="C131" i="17"/>
  <c r="E131" i="17" s="1"/>
  <c r="C130" i="17"/>
  <c r="D130" i="17" s="1"/>
  <c r="C160" i="17"/>
  <c r="D160" i="17" s="1"/>
  <c r="C128" i="17"/>
  <c r="E128" i="17" s="1"/>
  <c r="C136" i="17"/>
  <c r="D136" i="17" s="1"/>
  <c r="C158" i="17"/>
  <c r="D158" i="17" s="1"/>
  <c r="C166" i="17"/>
  <c r="D166" i="17" s="1"/>
  <c r="C154" i="17"/>
  <c r="D154" i="17" s="1"/>
  <c r="E112" i="17"/>
  <c r="E127" i="17"/>
  <c r="C71" i="17"/>
  <c r="E71" i="17" s="1"/>
  <c r="C89" i="17"/>
  <c r="E89" i="17" s="1"/>
  <c r="C88" i="17"/>
  <c r="E88" i="17" s="1"/>
  <c r="C80" i="17"/>
  <c r="C79" i="17"/>
  <c r="E79" i="17" s="1"/>
  <c r="C101" i="17"/>
  <c r="E101" i="17" s="1"/>
  <c r="C83" i="17"/>
  <c r="E83" i="17" s="1"/>
  <c r="C91" i="17"/>
  <c r="C107" i="17"/>
  <c r="E107" i="17" s="1"/>
  <c r="C82" i="17"/>
  <c r="E82" i="17" s="1"/>
  <c r="C77" i="17"/>
  <c r="D77" i="17" s="1"/>
  <c r="C110" i="17"/>
  <c r="E106" i="17"/>
  <c r="C104" i="17"/>
  <c r="C103" i="17"/>
  <c r="C92" i="17"/>
  <c r="D107" i="17"/>
  <c r="D101" i="17"/>
  <c r="D83" i="17"/>
  <c r="D82" i="17"/>
  <c r="E77" i="17"/>
  <c r="E109" i="17"/>
  <c r="E76" i="17"/>
  <c r="D86" i="17"/>
  <c r="D6" i="1"/>
  <c r="AF6" i="1" s="1"/>
  <c r="D20" i="1"/>
  <c r="AF20" i="1" s="1"/>
  <c r="D12" i="1"/>
  <c r="AF12" i="1" s="1"/>
  <c r="D13" i="1"/>
  <c r="AF13" i="1" s="1"/>
  <c r="D17" i="1"/>
  <c r="AF17" i="1" s="1"/>
  <c r="D21" i="1"/>
  <c r="AF21" i="1" s="1"/>
  <c r="D28" i="1"/>
  <c r="AF28" i="1" s="1"/>
  <c r="D16" i="1"/>
  <c r="AF16" i="1" s="1"/>
  <c r="D7" i="1"/>
  <c r="AF7" i="1" s="1"/>
  <c r="D11" i="1"/>
  <c r="AF11" i="1" s="1"/>
  <c r="D19" i="1"/>
  <c r="AF19" i="1" s="1"/>
  <c r="D26" i="1"/>
  <c r="AF26" i="1" s="1"/>
  <c r="D8" i="1"/>
  <c r="AF8" i="1" s="1"/>
  <c r="D23" i="1"/>
  <c r="AF23" i="1" s="1"/>
  <c r="D24" i="1"/>
  <c r="AF24" i="1" s="1"/>
  <c r="D9" i="1"/>
  <c r="AF9" i="1" s="1"/>
  <c r="D15" i="1"/>
  <c r="AF15" i="1" s="1"/>
  <c r="D27" i="1"/>
  <c r="AF27" i="1" s="1"/>
  <c r="D10" i="1"/>
  <c r="AF10" i="1" s="1"/>
  <c r="D22" i="1"/>
  <c r="AF22" i="1" s="1"/>
  <c r="D73" i="17"/>
  <c r="D74" i="17"/>
  <c r="E97" i="17"/>
  <c r="D94" i="17"/>
  <c r="E94" i="17"/>
  <c r="Y25" i="1"/>
  <c r="Y14" i="1"/>
  <c r="Y18" i="1"/>
  <c r="Y5" i="1"/>
  <c r="D200" i="17"/>
  <c r="E190" i="17"/>
  <c r="D55" i="17"/>
  <c r="E55" i="17"/>
  <c r="E52" i="17"/>
  <c r="D41" i="17"/>
  <c r="E41" i="17"/>
  <c r="D47" i="17"/>
  <c r="E47" i="17"/>
  <c r="E28" i="17"/>
  <c r="D49" i="17"/>
  <c r="E49" i="17"/>
  <c r="D29" i="17"/>
  <c r="E29" i="17"/>
  <c r="D32" i="17"/>
  <c r="D50" i="17"/>
  <c r="E50" i="17"/>
  <c r="D19" i="17"/>
  <c r="E19" i="17"/>
  <c r="D34" i="17"/>
  <c r="D149" i="17"/>
  <c r="E149" i="17"/>
  <c r="E170" i="17"/>
  <c r="D170" i="17"/>
  <c r="D163" i="17"/>
  <c r="E163" i="17"/>
  <c r="D164" i="17"/>
  <c r="E164" i="17"/>
  <c r="D143" i="17"/>
  <c r="D157" i="17"/>
  <c r="E157" i="17"/>
  <c r="D161" i="17"/>
  <c r="E161" i="17"/>
  <c r="E169" i="17"/>
  <c r="D169" i="17"/>
  <c r="E134" i="17"/>
  <c r="D134" i="17"/>
  <c r="E167" i="17"/>
  <c r="D167" i="17"/>
  <c r="E151" i="17"/>
  <c r="D151" i="17"/>
  <c r="E155" i="17"/>
  <c r="D155" i="17"/>
  <c r="E146" i="17"/>
  <c r="D146" i="17"/>
  <c r="D208" i="17"/>
  <c r="D220" i="17"/>
  <c r="D188" i="17"/>
  <c r="E197" i="17"/>
  <c r="E226" i="17"/>
  <c r="E218" i="17"/>
  <c r="D218" i="17"/>
  <c r="E203" i="17"/>
  <c r="E193" i="17"/>
  <c r="D193" i="17"/>
  <c r="D212" i="17"/>
  <c r="E202" i="17"/>
  <c r="D202" i="17"/>
  <c r="D194" i="17"/>
  <c r="D206" i="17"/>
  <c r="E206" i="17"/>
  <c r="E211" i="17"/>
  <c r="E205" i="17"/>
  <c r="D205" i="17"/>
  <c r="E191" i="17"/>
  <c r="D209" i="17"/>
  <c r="E209" i="17"/>
  <c r="E224" i="17"/>
  <c r="D224" i="17"/>
  <c r="D215" i="17"/>
  <c r="E215" i="17"/>
  <c r="E221" i="17"/>
  <c r="D221" i="17"/>
  <c r="D217" i="17"/>
  <c r="E217" i="17"/>
  <c r="E223" i="17"/>
  <c r="D223" i="17"/>
  <c r="E23" i="17"/>
  <c r="E25" i="17"/>
  <c r="E46" i="17"/>
  <c r="E44" i="17"/>
  <c r="D37" i="17"/>
  <c r="D56" i="17"/>
  <c r="D40" i="17"/>
  <c r="E43" i="17"/>
  <c r="D43" i="17"/>
  <c r="D152" i="17"/>
  <c r="D133" i="17"/>
  <c r="D131" i="17"/>
  <c r="E160" i="17"/>
  <c r="E136" i="17"/>
  <c r="E166" i="17"/>
  <c r="E142" i="17"/>
  <c r="E154" i="17" l="1"/>
  <c r="E158" i="17"/>
  <c r="D128" i="17"/>
  <c r="E130" i="17"/>
  <c r="D139" i="17"/>
  <c r="E140" i="17"/>
  <c r="D148" i="17"/>
  <c r="E31" i="17"/>
  <c r="E20" i="17"/>
  <c r="D16" i="17"/>
  <c r="D35" i="17"/>
  <c r="E22" i="17"/>
  <c r="D38" i="17"/>
  <c r="E14" i="17"/>
  <c r="D214" i="17"/>
  <c r="D199" i="17"/>
  <c r="E196" i="17"/>
  <c r="E145" i="17"/>
  <c r="D137" i="17"/>
  <c r="D17" i="17"/>
  <c r="E53" i="17"/>
  <c r="D26" i="17"/>
  <c r="D95" i="17"/>
  <c r="D89" i="17"/>
  <c r="E113" i="17"/>
  <c r="D113" i="17"/>
  <c r="D85" i="17"/>
  <c r="E85" i="17"/>
  <c r="D187" i="17"/>
  <c r="E227" i="17"/>
  <c r="D185" i="17"/>
  <c r="D79" i="17"/>
  <c r="D71" i="17"/>
  <c r="D88" i="17"/>
  <c r="E110" i="17"/>
  <c r="D110" i="17"/>
  <c r="E91" i="17"/>
  <c r="D91" i="17"/>
  <c r="D80" i="17"/>
  <c r="E80" i="17"/>
  <c r="E92" i="17"/>
  <c r="D92" i="17"/>
  <c r="E104" i="17"/>
  <c r="D104" i="17"/>
  <c r="D103" i="17"/>
  <c r="E103" i="17"/>
  <c r="Y7" i="1"/>
  <c r="Y12" i="1"/>
  <c r="Y13" i="1"/>
  <c r="B6" i="11"/>
  <c r="C6" i="11"/>
  <c r="C4" i="27" s="1"/>
  <c r="Y17" i="1"/>
  <c r="Y20" i="1"/>
  <c r="Y16" i="1"/>
  <c r="B8" i="11"/>
  <c r="Y23" i="1"/>
  <c r="Y21" i="1"/>
  <c r="C9" i="11"/>
  <c r="C17" i="11"/>
  <c r="Y28" i="1"/>
  <c r="Y6" i="1"/>
  <c r="C16" i="11"/>
  <c r="C44" i="27" s="1"/>
  <c r="C10" i="11"/>
  <c r="C8" i="11"/>
  <c r="B13" i="11"/>
  <c r="B15" i="11"/>
  <c r="B56" i="27" s="1"/>
  <c r="B10" i="11"/>
  <c r="C20" i="11"/>
  <c r="C60" i="27" s="1"/>
  <c r="B17" i="11"/>
  <c r="B24" i="27" s="1"/>
  <c r="B21" i="11"/>
  <c r="B8" i="27" s="1"/>
  <c r="C7" i="11"/>
  <c r="B20" i="11"/>
  <c r="C11" i="11"/>
  <c r="C19" i="11"/>
  <c r="C40" i="27" s="1"/>
  <c r="B16" i="11"/>
  <c r="B44" i="27" s="1"/>
  <c r="B12" i="11"/>
  <c r="C14" i="11"/>
  <c r="C12" i="27" s="1"/>
  <c r="B14" i="11"/>
  <c r="B12" i="27" s="1"/>
  <c r="C21" i="11"/>
  <c r="B19" i="11"/>
  <c r="B11" i="11"/>
  <c r="B48" i="27" s="1"/>
  <c r="Y24" i="1"/>
  <c r="Y26" i="1"/>
  <c r="Y11" i="1"/>
  <c r="Y22" i="1"/>
  <c r="C18" i="11"/>
  <c r="C15" i="11"/>
  <c r="C56" i="27" s="1"/>
  <c r="C13" i="11"/>
  <c r="C16" i="27" s="1"/>
  <c r="B9" i="11"/>
  <c r="B32" i="27" s="1"/>
  <c r="C12" i="11"/>
  <c r="B18" i="11"/>
  <c r="B7" i="11"/>
  <c r="B64" i="27" s="1"/>
  <c r="Y15" i="1"/>
  <c r="Y9" i="1"/>
  <c r="Y8" i="1"/>
  <c r="Y19" i="1"/>
  <c r="Y10" i="1"/>
  <c r="Y27" i="1"/>
  <c r="D14" i="27" l="1"/>
  <c r="D6" i="27"/>
  <c r="K12" i="11"/>
  <c r="C52" i="27"/>
  <c r="D54" i="27" s="1"/>
  <c r="K18" i="11"/>
  <c r="C28" i="27"/>
  <c r="M19" i="11"/>
  <c r="B40" i="27"/>
  <c r="M12" i="11"/>
  <c r="B52" i="27"/>
  <c r="M20" i="11"/>
  <c r="B60" i="27"/>
  <c r="K8" i="11"/>
  <c r="C36" i="27"/>
  <c r="K9" i="11"/>
  <c r="C32" i="27"/>
  <c r="M6" i="11"/>
  <c r="B4" i="27"/>
  <c r="M18" i="11"/>
  <c r="B28" i="27"/>
  <c r="D30" i="27" s="1"/>
  <c r="K21" i="11"/>
  <c r="C8" i="27"/>
  <c r="F10" i="27" s="1"/>
  <c r="H63" i="27" s="1"/>
  <c r="K11" i="11"/>
  <c r="C48" i="27"/>
  <c r="K7" i="11"/>
  <c r="C64" i="27"/>
  <c r="M10" i="11"/>
  <c r="B20" i="27"/>
  <c r="M13" i="11"/>
  <c r="B16" i="27"/>
  <c r="K10" i="11"/>
  <c r="C20" i="27"/>
  <c r="D22" i="27" s="1"/>
  <c r="K17" i="11"/>
  <c r="C24" i="27"/>
  <c r="M8" i="11"/>
  <c r="B36" i="27"/>
  <c r="J6" i="11"/>
  <c r="J9" i="11"/>
  <c r="J7" i="11"/>
  <c r="J18" i="11"/>
  <c r="J14" i="11"/>
  <c r="J10" i="11"/>
  <c r="J21" i="11"/>
  <c r="J17" i="11"/>
  <c r="J13" i="11"/>
  <c r="J20" i="11"/>
  <c r="J16" i="11"/>
  <c r="J12" i="11"/>
  <c r="J8" i="11"/>
  <c r="J19" i="11"/>
  <c r="J15" i="11"/>
  <c r="J11" i="11"/>
  <c r="M15" i="11"/>
  <c r="H6" i="11"/>
  <c r="I6" i="11"/>
  <c r="K6" i="11"/>
  <c r="G6" i="11"/>
  <c r="F6" i="11"/>
  <c r="E6" i="11"/>
  <c r="M9" i="11"/>
  <c r="D18" i="11"/>
  <c r="K19" i="11"/>
  <c r="K16" i="11"/>
  <c r="M16" i="11"/>
  <c r="K20" i="11"/>
  <c r="M17" i="11"/>
  <c r="K13" i="11"/>
  <c r="E15" i="11"/>
  <c r="I12" i="11"/>
  <c r="F17" i="11"/>
  <c r="H20" i="11"/>
  <c r="I20" i="11"/>
  <c r="E20" i="11"/>
  <c r="M14" i="11"/>
  <c r="K15" i="11"/>
  <c r="M11" i="11"/>
  <c r="D20" i="11"/>
  <c r="F20" i="11"/>
  <c r="I21" i="11"/>
  <c r="I10" i="11"/>
  <c r="F19" i="11"/>
  <c r="E12" i="11"/>
  <c r="D16" i="11"/>
  <c r="H14" i="11"/>
  <c r="D12" i="11"/>
  <c r="D21" i="11"/>
  <c r="K14" i="11"/>
  <c r="M21" i="11"/>
  <c r="I19" i="11"/>
  <c r="I15" i="11"/>
  <c r="G9" i="11"/>
  <c r="F18" i="11"/>
  <c r="G10" i="11"/>
  <c r="F7" i="11"/>
  <c r="F8" i="11"/>
  <c r="D17" i="11"/>
  <c r="E14" i="11"/>
  <c r="D14" i="11"/>
  <c r="E13" i="11"/>
  <c r="G18" i="11"/>
  <c r="F14" i="11"/>
  <c r="E18" i="11"/>
  <c r="F13" i="11"/>
  <c r="D9" i="11"/>
  <c r="H12" i="11"/>
  <c r="I18" i="11"/>
  <c r="G15" i="11"/>
  <c r="I14" i="11"/>
  <c r="F9" i="11"/>
  <c r="H15" i="11"/>
  <c r="I9" i="11"/>
  <c r="H11" i="11"/>
  <c r="E11" i="11"/>
  <c r="G14" i="11"/>
  <c r="D15" i="11"/>
  <c r="D11" i="11"/>
  <c r="E8" i="11"/>
  <c r="I16" i="11"/>
  <c r="H21" i="11"/>
  <c r="H17" i="11"/>
  <c r="H8" i="11"/>
  <c r="I17" i="11"/>
  <c r="D10" i="11"/>
  <c r="E21" i="11"/>
  <c r="H7" i="11"/>
  <c r="G21" i="11"/>
  <c r="G17" i="11"/>
  <c r="E17" i="11"/>
  <c r="D7" i="11"/>
  <c r="H18" i="11"/>
  <c r="I11" i="11"/>
  <c r="D8" i="11"/>
  <c r="I7" i="11"/>
  <c r="H13" i="11"/>
  <c r="G11" i="11"/>
  <c r="E16" i="11"/>
  <c r="F10" i="11"/>
  <c r="G13" i="11"/>
  <c r="F21" i="11"/>
  <c r="G12" i="11"/>
  <c r="D13" i="11"/>
  <c r="G16" i="11"/>
  <c r="G19" i="11"/>
  <c r="E9" i="11"/>
  <c r="D19" i="11"/>
  <c r="H10" i="11"/>
  <c r="G8" i="11"/>
  <c r="I8" i="11"/>
  <c r="I13" i="11"/>
  <c r="F12" i="11"/>
  <c r="H16" i="11"/>
  <c r="H9" i="11"/>
  <c r="F15" i="11"/>
  <c r="E10" i="11"/>
  <c r="G7" i="11"/>
  <c r="H19" i="11"/>
  <c r="E7" i="11"/>
  <c r="E19" i="11"/>
  <c r="G20" i="11"/>
  <c r="D6" i="11"/>
  <c r="F11" i="11"/>
  <c r="M7" i="11"/>
  <c r="F16" i="11"/>
  <c r="D62" i="27" l="1"/>
  <c r="F58" i="27" s="1"/>
  <c r="D38" i="27"/>
  <c r="D46" i="27"/>
  <c r="F26" i="27"/>
  <c r="H18" i="27" s="1"/>
  <c r="F42" i="27" l="1"/>
  <c r="H67" i="27" s="1"/>
  <c r="J65" i="27" s="1"/>
  <c r="K8" i="27" s="1"/>
  <c r="H50" i="27" l="1"/>
  <c r="J34" i="27" s="1"/>
  <c r="K4" i="27" s="1"/>
</calcChain>
</file>

<file path=xl/sharedStrings.xml><?xml version="1.0" encoding="utf-8"?>
<sst xmlns="http://schemas.openxmlformats.org/spreadsheetml/2006/main" count="201" uniqueCount="112">
  <si>
    <t>№</t>
    <phoneticPr fontId="2"/>
  </si>
  <si>
    <t>氏　　名</t>
  </si>
  <si>
    <t>出場登録選手名簿</t>
  </si>
  <si>
    <t>暫定
順位</t>
    <rPh sb="0" eb="2">
      <t>ザンテイ</t>
    </rPh>
    <rPh sb="3" eb="5">
      <t>ジュンイ</t>
    </rPh>
    <phoneticPr fontId="2"/>
  </si>
  <si>
    <t>1回戦</t>
    <rPh sb="1" eb="3">
      <t>カイセン</t>
    </rPh>
    <phoneticPr fontId="1"/>
  </si>
  <si>
    <t>勝敗</t>
    <rPh sb="0" eb="2">
      <t>ショウハイ</t>
    </rPh>
    <phoneticPr fontId="2"/>
  </si>
  <si>
    <t>選手署名</t>
    <rPh sb="0" eb="1">
      <t>セン</t>
    </rPh>
    <rPh sb="1" eb="2">
      <t>シュ</t>
    </rPh>
    <rPh sb="2" eb="4">
      <t>ショメイ</t>
    </rPh>
    <phoneticPr fontId="3"/>
  </si>
  <si>
    <t>学校名</t>
    <rPh sb="0" eb="2">
      <t>ガッコウ</t>
    </rPh>
    <rPh sb="2" eb="3">
      <t>メイ</t>
    </rPh>
    <phoneticPr fontId="2"/>
  </si>
  <si>
    <t>氏　　名</t>
    <phoneticPr fontId="2"/>
  </si>
  <si>
    <t>入力エラー判定BOX</t>
    <rPh sb="0" eb="2">
      <t>ニュウリョク</t>
    </rPh>
    <rPh sb="5" eb="7">
      <t>ハンテイ</t>
    </rPh>
    <phoneticPr fontId="2"/>
  </si>
  <si>
    <t>備考</t>
    <rPh sb="0" eb="2">
      <t>ビコウ</t>
    </rPh>
    <phoneticPr fontId="1"/>
  </si>
  <si>
    <t>所属</t>
    <rPh sb="0" eb="2">
      <t>ショゾク</t>
    </rPh>
    <phoneticPr fontId="1"/>
  </si>
  <si>
    <t>開催日</t>
    <rPh sb="0" eb="3">
      <t>カイサイビ</t>
    </rPh>
    <phoneticPr fontId="1"/>
  </si>
  <si>
    <t>番号</t>
    <phoneticPr fontId="2"/>
  </si>
  <si>
    <t>№</t>
    <phoneticPr fontId="2"/>
  </si>
  <si>
    <t>番
号</t>
    <phoneticPr fontId="2"/>
  </si>
  <si>
    <t>所属名</t>
    <rPh sb="0" eb="2">
      <t>ショゾク</t>
    </rPh>
    <rPh sb="2" eb="3">
      <t>ナ</t>
    </rPh>
    <phoneticPr fontId="2"/>
  </si>
  <si>
    <t>氏　　名</t>
    <phoneticPr fontId="2"/>
  </si>
  <si>
    <t>シード順位表</t>
    <rPh sb="3" eb="5">
      <t>ジュンイ</t>
    </rPh>
    <rPh sb="5" eb="6">
      <t>ヒョウ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</si>
  <si>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</si>
  <si>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</si>
  <si>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順</t>
    <rPh sb="0" eb="1">
      <t>ジュン</t>
    </rPh>
    <phoneticPr fontId="2"/>
  </si>
  <si>
    <t>試合</t>
    <rPh sb="0" eb="2">
      <t>シアイ</t>
    </rPh>
    <phoneticPr fontId="2"/>
  </si>
  <si>
    <t>突</t>
    <rPh sb="0" eb="1">
      <t>ツ</t>
    </rPh>
    <phoneticPr fontId="2"/>
  </si>
  <si>
    <t>被突</t>
    <rPh sb="0" eb="1">
      <t>ヒ</t>
    </rPh>
    <rPh sb="1" eb="2">
      <t>ツ</t>
    </rPh>
    <phoneticPr fontId="2"/>
  </si>
  <si>
    <t>氏名（よみ）</t>
    <phoneticPr fontId="1"/>
  </si>
  <si>
    <t>№</t>
    <phoneticPr fontId="1"/>
  </si>
  <si>
    <t>３位決定戦</t>
    <rPh sb="1" eb="2">
      <t>イ</t>
    </rPh>
    <rPh sb="2" eb="5">
      <t>ケッテイセン</t>
    </rPh>
    <phoneticPr fontId="3"/>
  </si>
  <si>
    <t>優勝</t>
    <rPh sb="0" eb="2">
      <t>ユウショウ</t>
    </rPh>
    <phoneticPr fontId="3"/>
  </si>
  <si>
    <t>№</t>
    <phoneticPr fontId="2"/>
  </si>
  <si>
    <t>２位</t>
    <rPh sb="1" eb="2">
      <t>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</si>
  <si>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</si>
  <si>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</si>
  <si>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セル幅調整用表示</t>
    <rPh sb="2" eb="3">
      <t>ハバ</t>
    </rPh>
    <rPh sb="3" eb="6">
      <t>チョウセイヨウ</t>
    </rPh>
    <rPh sb="6" eb="8">
      <t>ヒョウジ</t>
    </rPh>
    <phoneticPr fontId="11"/>
  </si>
  <si>
    <t>セルの幅調整用</t>
    <rPh sb="3" eb="4">
      <t>ハバ</t>
    </rPh>
    <rPh sb="4" eb="6">
      <t>チョウセイ</t>
    </rPh>
    <rPh sb="6" eb="7">
      <t>ヨウ</t>
    </rPh>
    <phoneticPr fontId="1"/>
  </si>
  <si>
    <t>セルの幅調整用に表示！</t>
    <rPh sb="3" eb="4">
      <t>ハバ</t>
    </rPh>
    <rPh sb="4" eb="6">
      <t>チョウセイ</t>
    </rPh>
    <rPh sb="6" eb="7">
      <t>ヨウ</t>
    </rPh>
    <rPh sb="8" eb="10">
      <t>ヒョウジ</t>
    </rPh>
    <phoneticPr fontId="1"/>
  </si>
  <si>
    <t>Ｐ</t>
    <phoneticPr fontId="2"/>
  </si>
  <si>
    <t>試合M</t>
    <phoneticPr fontId="2"/>
  </si>
  <si>
    <t>勝数V</t>
    <phoneticPr fontId="2"/>
  </si>
  <si>
    <t>突差</t>
    <rPh sb="0" eb="1">
      <t>ツ</t>
    </rPh>
    <rPh sb="1" eb="2">
      <t>サ</t>
    </rPh>
    <phoneticPr fontId="2"/>
  </si>
  <si>
    <t>優先
順位</t>
    <rPh sb="0" eb="2">
      <t>ユウセン</t>
    </rPh>
    <rPh sb="3" eb="5">
      <t>ジュンイ</t>
    </rPh>
    <phoneticPr fontId="2"/>
  </si>
  <si>
    <t>セル幅調整用に表示</t>
    <rPh sb="2" eb="3">
      <t>ハバ</t>
    </rPh>
    <rPh sb="3" eb="6">
      <t>チョウセイヨウ</t>
    </rPh>
    <rPh sb="7" eb="9">
      <t>ヒョウジ</t>
    </rPh>
    <phoneticPr fontId="11"/>
  </si>
  <si>
    <t>v5</t>
    <phoneticPr fontId="2"/>
  </si>
  <si>
    <t>セル幅調整用表示</t>
    <rPh sb="2" eb="3">
      <t>ハバ</t>
    </rPh>
    <rPh sb="3" eb="6">
      <t>チョウセイヨウ</t>
    </rPh>
    <rPh sb="6" eb="8">
      <t>ヒョウジ</t>
    </rPh>
    <phoneticPr fontId="13"/>
  </si>
  <si>
    <t>セル幅調整用</t>
    <rPh sb="2" eb="3">
      <t>ハバ</t>
    </rPh>
    <rPh sb="3" eb="5">
      <t>チョウセイ</t>
    </rPh>
    <rPh sb="5" eb="6">
      <t>ヨウ</t>
    </rPh>
    <phoneticPr fontId="1"/>
  </si>
  <si>
    <t>セル幅調整用の表示</t>
    <rPh sb="2" eb="3">
      <t>ハバ</t>
    </rPh>
    <rPh sb="3" eb="6">
      <t>チョウセイヨウ</t>
    </rPh>
    <rPh sb="7" eb="9">
      <t>ヒョウジ</t>
    </rPh>
    <phoneticPr fontId="11"/>
  </si>
  <si>
    <t>順位</t>
    <rPh sb="0" eb="2">
      <t>ジュンイ</t>
    </rPh>
    <phoneticPr fontId="2"/>
  </si>
  <si>
    <t>試合
M</t>
    <phoneticPr fontId="2"/>
  </si>
  <si>
    <t>勝数
V</t>
    <phoneticPr fontId="2"/>
  </si>
  <si>
    <t>勝率
V/M</t>
    <phoneticPr fontId="2"/>
  </si>
  <si>
    <t>突
HS</t>
    <phoneticPr fontId="2"/>
  </si>
  <si>
    <t>被突
HR</t>
    <phoneticPr fontId="2"/>
  </si>
  <si>
    <t>突差
HS-HR</t>
    <rPh sb="1" eb="2">
      <t>サ</t>
    </rPh>
    <phoneticPr fontId="2"/>
  </si>
  <si>
    <t>記入</t>
    <rPh sb="0" eb="2">
      <t>キニュウ</t>
    </rPh>
    <phoneticPr fontId="3"/>
  </si>
  <si>
    <t>勝者 → v + 被突数</t>
    <rPh sb="0" eb="1">
      <t>カ</t>
    </rPh>
    <rPh sb="1" eb="2">
      <t>シャ</t>
    </rPh>
    <rPh sb="9" eb="10">
      <t>ヒ</t>
    </rPh>
    <rPh sb="10" eb="11">
      <t>ツ</t>
    </rPh>
    <rPh sb="11" eb="12">
      <t>スウ</t>
    </rPh>
    <phoneticPr fontId="3"/>
  </si>
  <si>
    <t>負者 → 突数</t>
    <rPh sb="0" eb="1">
      <t>マ</t>
    </rPh>
    <rPh sb="1" eb="2">
      <t>シャ</t>
    </rPh>
    <rPh sb="5" eb="6">
      <t>ツ</t>
    </rPh>
    <rPh sb="6" eb="7">
      <t>カズ</t>
    </rPh>
    <phoneticPr fontId="3"/>
  </si>
  <si>
    <t>M</t>
    <phoneticPr fontId="2"/>
  </si>
  <si>
    <t>V</t>
    <phoneticPr fontId="2"/>
  </si>
  <si>
    <t>V/M</t>
    <phoneticPr fontId="2"/>
  </si>
  <si>
    <t>HS</t>
    <phoneticPr fontId="2"/>
  </si>
  <si>
    <t>HR</t>
    <phoneticPr fontId="2"/>
  </si>
  <si>
    <t>HS-HR</t>
    <phoneticPr fontId="2"/>
  </si>
  <si>
    <t>勝数</t>
    <phoneticPr fontId="2"/>
  </si>
  <si>
    <t>勝率</t>
    <phoneticPr fontId="2"/>
  </si>
  <si>
    <t>第9回川本杯はしまモアフェンシング大会</t>
    <rPh sb="0" eb="1">
      <t>ダイ</t>
    </rPh>
    <rPh sb="2" eb="3">
      <t>カイ</t>
    </rPh>
    <rPh sb="3" eb="5">
      <t>カワモト</t>
    </rPh>
    <rPh sb="5" eb="6">
      <t>ハイ</t>
    </rPh>
    <rPh sb="17" eb="19">
      <t>タイカイ</t>
    </rPh>
    <phoneticPr fontId="1"/>
  </si>
  <si>
    <t>小学1-3年女子</t>
    <rPh sb="0" eb="2">
      <t>ショウガク</t>
    </rPh>
    <rPh sb="5" eb="6">
      <t>ネン</t>
    </rPh>
    <rPh sb="6" eb="8">
      <t>ジョシ</t>
    </rPh>
    <phoneticPr fontId="1"/>
  </si>
  <si>
    <t>アレ　フェンシング</t>
    <phoneticPr fontId="26"/>
  </si>
  <si>
    <t>古市　颯希</t>
    <rPh sb="0" eb="2">
      <t>フルイチ</t>
    </rPh>
    <rPh sb="3" eb="4">
      <t>ハヤテ</t>
    </rPh>
    <rPh sb="4" eb="5">
      <t>キ</t>
    </rPh>
    <phoneticPr fontId="26"/>
  </si>
  <si>
    <t>ふるいち　さつき</t>
    <phoneticPr fontId="26"/>
  </si>
  <si>
    <t>京都フューチャー</t>
    <rPh sb="0" eb="2">
      <t>キョウト</t>
    </rPh>
    <phoneticPr fontId="26"/>
  </si>
  <si>
    <t>田中　うの</t>
    <rPh sb="0" eb="2">
      <t>タナカ</t>
    </rPh>
    <phoneticPr fontId="26"/>
  </si>
  <si>
    <t>たなか　うの</t>
    <phoneticPr fontId="26"/>
  </si>
  <si>
    <t>熊本　詩乃</t>
    <rPh sb="0" eb="2">
      <t>クマモト</t>
    </rPh>
    <rPh sb="3" eb="4">
      <t>シ</t>
    </rPh>
    <rPh sb="4" eb="5">
      <t>ノ</t>
    </rPh>
    <phoneticPr fontId="26"/>
  </si>
  <si>
    <t>くまもと　しの</t>
    <phoneticPr fontId="26"/>
  </si>
  <si>
    <t>はしまモア</t>
    <phoneticPr fontId="26"/>
  </si>
  <si>
    <t>髙橋　ののか</t>
    <rPh sb="0" eb="2">
      <t>タカハシ</t>
    </rPh>
    <phoneticPr fontId="26"/>
  </si>
  <si>
    <t>たかはし　ののか</t>
    <phoneticPr fontId="26"/>
  </si>
  <si>
    <t>長野ジュニア</t>
    <rPh sb="0" eb="2">
      <t>ナガノ</t>
    </rPh>
    <phoneticPr fontId="26"/>
  </si>
  <si>
    <t>田中　鈴音</t>
    <rPh sb="0" eb="2">
      <t>タナカ</t>
    </rPh>
    <rPh sb="3" eb="5">
      <t>スズネ</t>
    </rPh>
    <phoneticPr fontId="26"/>
  </si>
  <si>
    <t>たなか　すずね</t>
    <phoneticPr fontId="26"/>
  </si>
  <si>
    <t>原　悠莉</t>
    <rPh sb="0" eb="1">
      <t>ハラ</t>
    </rPh>
    <rPh sb="2" eb="4">
      <t>ユウリ</t>
    </rPh>
    <phoneticPr fontId="26"/>
  </si>
  <si>
    <t>はら　ゆうり</t>
    <phoneticPr fontId="26"/>
  </si>
  <si>
    <t>滋賀ＪＦＣ</t>
    <rPh sb="0" eb="2">
      <t>シガ</t>
    </rPh>
    <phoneticPr fontId="26"/>
  </si>
  <si>
    <t>畑中　七葉</t>
    <rPh sb="0" eb="2">
      <t>ハタナカ</t>
    </rPh>
    <rPh sb="3" eb="4">
      <t>ナナ</t>
    </rPh>
    <rPh sb="4" eb="5">
      <t>ハ</t>
    </rPh>
    <phoneticPr fontId="26"/>
  </si>
  <si>
    <t>はたなか　ななは</t>
    <phoneticPr fontId="26"/>
  </si>
  <si>
    <t>武生ＪＦＣ</t>
    <rPh sb="0" eb="5">
      <t>タケフｊｆｃ</t>
    </rPh>
    <phoneticPr fontId="26"/>
  </si>
  <si>
    <t>矢部　結愛</t>
    <rPh sb="0" eb="2">
      <t>ヤベ</t>
    </rPh>
    <rPh sb="3" eb="4">
      <t>ユイ</t>
    </rPh>
    <rPh sb="4" eb="5">
      <t>アイ</t>
    </rPh>
    <phoneticPr fontId="26"/>
  </si>
  <si>
    <t>やべ　ゆうあ</t>
    <phoneticPr fontId="26"/>
  </si>
  <si>
    <t>和東Ｊｒ</t>
    <rPh sb="0" eb="1">
      <t>ワ</t>
    </rPh>
    <rPh sb="1" eb="3">
      <t>ヒガシｊ</t>
    </rPh>
    <phoneticPr fontId="26"/>
  </si>
  <si>
    <t>鵜本　翠</t>
    <rPh sb="0" eb="1">
      <t>ウ</t>
    </rPh>
    <rPh sb="1" eb="2">
      <t>ホン</t>
    </rPh>
    <rPh sb="3" eb="4">
      <t>ミドリ</t>
    </rPh>
    <phoneticPr fontId="26"/>
  </si>
  <si>
    <t>うもと　みどり</t>
    <phoneticPr fontId="26"/>
  </si>
  <si>
    <t>養老ＦＣ</t>
    <rPh sb="0" eb="4">
      <t>ヨウロウｆｃ</t>
    </rPh>
    <phoneticPr fontId="26"/>
  </si>
  <si>
    <t>伊東　愛苺</t>
    <rPh sb="0" eb="2">
      <t>イトウ</t>
    </rPh>
    <rPh sb="3" eb="4">
      <t>アイ</t>
    </rPh>
    <rPh sb="4" eb="5">
      <t>イチゴ</t>
    </rPh>
    <phoneticPr fontId="26"/>
  </si>
  <si>
    <t>いとう　めい</t>
    <phoneticPr fontId="26"/>
  </si>
  <si>
    <t>三輪　楓華</t>
    <rPh sb="0" eb="2">
      <t>ミワ</t>
    </rPh>
    <rPh sb="3" eb="5">
      <t>フウカ</t>
    </rPh>
    <phoneticPr fontId="26"/>
  </si>
  <si>
    <t>みわ　ふうか</t>
    <phoneticPr fontId="26"/>
  </si>
  <si>
    <t>はしまモア</t>
    <phoneticPr fontId="26"/>
  </si>
  <si>
    <t>杉山　妃埜</t>
    <rPh sb="0" eb="2">
      <t>スギヤマ</t>
    </rPh>
    <rPh sb="3" eb="4">
      <t>キサキ</t>
    </rPh>
    <rPh sb="4" eb="5">
      <t>ノ</t>
    </rPh>
    <phoneticPr fontId="26"/>
  </si>
  <si>
    <t>すぎやま　ひめの</t>
    <phoneticPr fontId="26"/>
  </si>
  <si>
    <t>後藤　結衣</t>
    <rPh sb="0" eb="2">
      <t>ゴトウ</t>
    </rPh>
    <rPh sb="3" eb="4">
      <t>ユイ</t>
    </rPh>
    <rPh sb="4" eb="5">
      <t>イ</t>
    </rPh>
    <phoneticPr fontId="26"/>
  </si>
  <si>
    <t>ごとう　ゆい</t>
    <phoneticPr fontId="26"/>
  </si>
  <si>
    <t>はしまモア</t>
    <phoneticPr fontId="26"/>
  </si>
  <si>
    <t>石黒　莉愛</t>
    <rPh sb="0" eb="2">
      <t>イシグロ</t>
    </rPh>
    <rPh sb="3" eb="4">
      <t>リ</t>
    </rPh>
    <rPh sb="4" eb="5">
      <t>アイ</t>
    </rPh>
    <phoneticPr fontId="26"/>
  </si>
  <si>
    <t>いしぐろ　りいな</t>
    <phoneticPr fontId="26"/>
  </si>
  <si>
    <t>山田　椛暖</t>
    <rPh sb="0" eb="2">
      <t>ヤマダ</t>
    </rPh>
    <rPh sb="3" eb="4">
      <t>モミジ</t>
    </rPh>
    <rPh sb="4" eb="5">
      <t>ダン</t>
    </rPh>
    <phoneticPr fontId="26"/>
  </si>
  <si>
    <t>やまだ　かのん</t>
    <phoneticPr fontId="26"/>
  </si>
  <si>
    <t>勝野　心空</t>
    <rPh sb="0" eb="2">
      <t>カツノ</t>
    </rPh>
    <rPh sb="3" eb="4">
      <t>ココロ</t>
    </rPh>
    <rPh sb="4" eb="5">
      <t>ソラ</t>
    </rPh>
    <phoneticPr fontId="26"/>
  </si>
  <si>
    <t>かつの　みいく</t>
    <phoneticPr fontId="26"/>
  </si>
  <si>
    <t>v5</t>
    <phoneticPr fontId="2"/>
  </si>
  <si>
    <t>v4</t>
    <phoneticPr fontId="2"/>
  </si>
  <si>
    <t>v5</t>
    <phoneticPr fontId="2"/>
  </si>
  <si>
    <t>v3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</si>
</sst>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&quot;計&quot;\ #,##0&quot;名&quot;"/>
    <numFmt numFmtId="178" formatCode="#,##0.000"/>
    <numFmt numFmtId="179" formatCode="#"/>
    <numFmt numFmtId="180" formatCode="0.000"/>
    <numFmt numFmtId="181" formatCode="[$-411]ggge&quot;年&quot;m&quot;月&quot;d&quot;日&quot;;@"/>
  </numFmts>
  <fonts count="27"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color rgb="FF0000FF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color rgb="FF000099"/>
      <name val="ＭＳ Ｐゴシック"/>
      <family val="3"/>
      <charset val="128"/>
    </font>
    <font>
      <sz val="14"/>
      <color rgb="FF000099"/>
      <name val="ＭＳ Ｐゴシック"/>
      <family val="3"/>
      <charset val="128"/>
    </font>
    <font>
      <sz val="6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5FA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FFFF6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</borders>
  <cellStyleXfs count="3">
    <xf numFmtId="0" fontId="0" fillId="0" borderId="0"/>
    <xf numFmtId="0" fontId="6" fillId="0" borderId="0"/>
    <xf numFmtId="38" fontId="14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6" fillId="0" borderId="0" xfId="0" applyFont="1" applyFill="1" applyAlignment="1" applyProtection="1"/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 wrapText="1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180" fontId="6" fillId="0" borderId="2" xfId="0" applyNumberFormat="1" applyFont="1" applyFill="1" applyBorder="1" applyAlignment="1" applyProtection="1">
      <alignment horizontal="right"/>
    </xf>
    <xf numFmtId="0" fontId="6" fillId="0" borderId="24" xfId="0" applyNumberFormat="1" applyFont="1" applyFill="1" applyBorder="1" applyAlignment="1" applyProtection="1">
      <alignment horizontal="center"/>
    </xf>
    <xf numFmtId="0" fontId="6" fillId="0" borderId="25" xfId="0" applyNumberFormat="1" applyFont="1" applyFill="1" applyBorder="1" applyAlignment="1" applyProtection="1">
      <alignment horizontal="center"/>
    </xf>
    <xf numFmtId="180" fontId="6" fillId="0" borderId="1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80" fontId="7" fillId="0" borderId="0" xfId="0" applyNumberFormat="1" applyFont="1" applyFill="1" applyBorder="1" applyAlignment="1" applyProtection="1">
      <alignment horizontal="right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30" xfId="0" applyFont="1" applyBorder="1" applyAlignment="1" applyProtection="1">
      <alignment horizontal="left" vertical="center" shrinkToFit="1"/>
    </xf>
    <xf numFmtId="0" fontId="6" fillId="0" borderId="22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left" shrinkToFit="1"/>
    </xf>
    <xf numFmtId="0" fontId="6" fillId="0" borderId="36" xfId="0" applyFont="1" applyFill="1" applyBorder="1" applyAlignment="1" applyProtection="1">
      <alignment horizontal="distributed" shrinkToFit="1"/>
    </xf>
    <xf numFmtId="0" fontId="6" fillId="0" borderId="2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 shrinkToFit="1"/>
    </xf>
    <xf numFmtId="0" fontId="6" fillId="0" borderId="15" xfId="0" applyFont="1" applyFill="1" applyBorder="1" applyAlignment="1" applyProtection="1">
      <alignment horizontal="distributed" shrinkToFit="1"/>
    </xf>
    <xf numFmtId="0" fontId="6" fillId="0" borderId="10" xfId="0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left" shrinkToFit="1"/>
    </xf>
    <xf numFmtId="0" fontId="6" fillId="0" borderId="38" xfId="0" applyFont="1" applyFill="1" applyBorder="1" applyAlignment="1" applyProtection="1">
      <alignment horizontal="distributed" shrinkToFit="1"/>
    </xf>
    <xf numFmtId="0" fontId="7" fillId="0" borderId="0" xfId="0" applyFont="1" applyFill="1" applyAlignment="1" applyProtection="1">
      <alignment horizontal="left" shrinkToFit="1"/>
    </xf>
    <xf numFmtId="0" fontId="7" fillId="0" borderId="0" xfId="0" applyFont="1" applyFill="1" applyAlignment="1" applyProtection="1">
      <alignment horizontal="distributed" shrinkToFi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shrinkToFit="1"/>
    </xf>
    <xf numFmtId="0" fontId="7" fillId="0" borderId="0" xfId="0" applyFont="1" applyFill="1" applyBorder="1" applyAlignment="1" applyProtection="1">
      <alignment horizontal="distributed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12" fillId="0" borderId="34" xfId="0" applyFont="1" applyFill="1" applyBorder="1" applyAlignment="1" applyProtection="1">
      <alignment horizontal="center" vertical="center" shrinkToFit="1"/>
    </xf>
    <xf numFmtId="0" fontId="12" fillId="0" borderId="34" xfId="0" applyFont="1" applyFill="1" applyBorder="1" applyAlignment="1" applyProtection="1">
      <alignment vertical="center" shrinkToFit="1"/>
    </xf>
    <xf numFmtId="0" fontId="9" fillId="0" borderId="0" xfId="0" applyFont="1" applyProtection="1"/>
    <xf numFmtId="0" fontId="5" fillId="0" borderId="0" xfId="0" applyFont="1" applyProtection="1"/>
    <xf numFmtId="0" fontId="6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 shrinkToFit="1"/>
    </xf>
    <xf numFmtId="0" fontId="6" fillId="0" borderId="36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179" fontId="6" fillId="0" borderId="5" xfId="0" applyNumberFormat="1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179" fontId="6" fillId="0" borderId="14" xfId="0" applyNumberFormat="1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179" fontId="6" fillId="0" borderId="7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179" fontId="6" fillId="0" borderId="16" xfId="0" applyNumberFormat="1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/>
    </xf>
    <xf numFmtId="0" fontId="10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179" fontId="6" fillId="0" borderId="11" xfId="0" applyNumberFormat="1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179" fontId="6" fillId="0" borderId="18" xfId="0" applyNumberFormat="1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left" shrinkToFit="1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80" fontId="7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shrinkToFit="1"/>
    </xf>
    <xf numFmtId="0" fontId="6" fillId="0" borderId="0" xfId="0" applyFont="1" applyAlignment="1" applyProtection="1">
      <alignment horizontal="center" shrinkToFit="1"/>
    </xf>
    <xf numFmtId="0" fontId="6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shrinkToFit="1"/>
    </xf>
    <xf numFmtId="0" fontId="4" fillId="0" borderId="0" xfId="0" applyNumberFormat="1" applyFont="1" applyFill="1" applyProtection="1"/>
    <xf numFmtId="0" fontId="8" fillId="0" borderId="0" xfId="1" applyNumberFormat="1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Alignment="1" applyProtection="1">
      <alignment horizontal="left" indent="1" shrinkToFit="1"/>
    </xf>
    <xf numFmtId="0" fontId="8" fillId="0" borderId="0" xfId="1" applyNumberFormat="1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Protection="1"/>
    <xf numFmtId="0" fontId="8" fillId="0" borderId="0" xfId="0" applyFont="1" applyFill="1" applyBorder="1" applyProtection="1"/>
    <xf numFmtId="0" fontId="8" fillId="0" borderId="35" xfId="1" applyNumberFormat="1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left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indent="1" shrinkToFit="1"/>
    </xf>
    <xf numFmtId="0" fontId="8" fillId="0" borderId="43" xfId="0" applyFont="1" applyFill="1" applyBorder="1" applyProtection="1"/>
    <xf numFmtId="0" fontId="8" fillId="0" borderId="19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Protection="1"/>
    <xf numFmtId="0" fontId="8" fillId="0" borderId="31" xfId="0" applyFont="1" applyFill="1" applyBorder="1" applyProtection="1"/>
    <xf numFmtId="0" fontId="1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Alignment="1" applyProtection="1">
      <alignment horizontal="left"/>
    </xf>
    <xf numFmtId="0" fontId="15" fillId="0" borderId="0" xfId="0" applyFont="1" applyFill="1" applyProtection="1"/>
    <xf numFmtId="0" fontId="8" fillId="0" borderId="34" xfId="0" applyFont="1" applyFill="1" applyBorder="1" applyProtection="1"/>
    <xf numFmtId="0" fontId="8" fillId="0" borderId="0" xfId="0" applyFont="1" applyFill="1" applyProtection="1"/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horizontal="center" vertical="center" shrinkToFit="1"/>
    </xf>
    <xf numFmtId="0" fontId="18" fillId="0" borderId="34" xfId="0" applyFont="1" applyFill="1" applyBorder="1" applyAlignment="1" applyProtection="1">
      <alignment horizontal="center" vertical="center" shrinkToFit="1"/>
    </xf>
    <xf numFmtId="0" fontId="18" fillId="0" borderId="34" xfId="0" applyFont="1" applyFill="1" applyBorder="1" applyAlignment="1" applyProtection="1">
      <alignment vertical="center" shrinkToFit="1"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/>
    <xf numFmtId="181" fontId="4" fillId="0" borderId="0" xfId="0" applyNumberFormat="1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Continuous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distributed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9" fontId="4" fillId="0" borderId="5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180" fontId="4" fillId="0" borderId="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9" fontId="4" fillId="0" borderId="7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180" fontId="4" fillId="0" borderId="6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38" xfId="0" applyFont="1" applyFill="1" applyBorder="1" applyAlignment="1" applyProtection="1">
      <alignment horizontal="distributed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76" fontId="4" fillId="0" borderId="38" xfId="0" applyNumberFormat="1" applyFont="1" applyFill="1" applyBorder="1" applyAlignment="1" applyProtection="1">
      <alignment horizontal="right" vertical="center"/>
    </xf>
    <xf numFmtId="179" fontId="4" fillId="0" borderId="11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180" fontId="4" fillId="0" borderId="3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center"/>
    </xf>
    <xf numFmtId="0" fontId="20" fillId="0" borderId="0" xfId="0" applyNumberFormat="1" applyFont="1" applyFill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55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/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1" xfId="0" applyFont="1" applyBorder="1"/>
    <xf numFmtId="0" fontId="6" fillId="0" borderId="46" xfId="0" applyFont="1" applyBorder="1"/>
    <xf numFmtId="0" fontId="22" fillId="0" borderId="40" xfId="0" applyFont="1" applyBorder="1"/>
    <xf numFmtId="0" fontId="6" fillId="0" borderId="44" xfId="0" applyFont="1" applyBorder="1"/>
    <xf numFmtId="0" fontId="22" fillId="0" borderId="30" xfId="0" applyFont="1" applyBorder="1"/>
    <xf numFmtId="0" fontId="6" fillId="0" borderId="45" xfId="0" applyFont="1" applyBorder="1"/>
    <xf numFmtId="0" fontId="21" fillId="0" borderId="0" xfId="0" applyFont="1" applyProtection="1"/>
    <xf numFmtId="0" fontId="8" fillId="0" borderId="0" xfId="0" applyFont="1" applyFill="1" applyAlignment="1" applyProtection="1">
      <alignment vertical="center"/>
    </xf>
    <xf numFmtId="177" fontId="17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81" fontId="16" fillId="2" borderId="31" xfId="0" applyNumberFormat="1" applyFont="1" applyFill="1" applyBorder="1" applyAlignment="1" applyProtection="1">
      <alignment horizontal="left" vertical="center"/>
      <protection locked="0"/>
    </xf>
    <xf numFmtId="0" fontId="23" fillId="3" borderId="56" xfId="0" applyFont="1" applyFill="1" applyBorder="1" applyAlignment="1" applyProtection="1">
      <alignment vertical="center" shrinkToFit="1"/>
    </xf>
    <xf numFmtId="0" fontId="23" fillId="3" borderId="59" xfId="0" applyFont="1" applyFill="1" applyBorder="1" applyAlignment="1" applyProtection="1">
      <alignment vertical="center" shrinkToFit="1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 vertical="center" wrapText="1"/>
    </xf>
    <xf numFmtId="38" fontId="25" fillId="0" borderId="0" xfId="2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Protection="1"/>
    <xf numFmtId="0" fontId="25" fillId="0" borderId="0" xfId="0" applyFont="1" applyFill="1" applyBorder="1" applyProtection="1"/>
    <xf numFmtId="0" fontId="24" fillId="0" borderId="0" xfId="0" applyFont="1" applyFill="1" applyBorder="1" applyProtection="1"/>
    <xf numFmtId="181" fontId="24" fillId="0" borderId="0" xfId="0" applyNumberFormat="1" applyFont="1" applyFill="1" applyBorder="1" applyAlignment="1" applyProtection="1">
      <alignment horizontal="center"/>
    </xf>
    <xf numFmtId="38" fontId="24" fillId="0" borderId="0" xfId="2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Protection="1"/>
    <xf numFmtId="0" fontId="24" fillId="0" borderId="22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center" shrinkToFit="1"/>
    </xf>
    <xf numFmtId="0" fontId="24" fillId="0" borderId="2" xfId="0" applyFont="1" applyFill="1" applyBorder="1" applyProtection="1"/>
    <xf numFmtId="38" fontId="24" fillId="0" borderId="43" xfId="2" applyFont="1" applyFill="1" applyBorder="1" applyAlignment="1" applyProtection="1"/>
    <xf numFmtId="0" fontId="24" fillId="0" borderId="6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left" vertical="center" shrinkToFit="1"/>
    </xf>
    <xf numFmtId="0" fontId="24" fillId="0" borderId="6" xfId="0" applyFont="1" applyFill="1" applyBorder="1" applyProtection="1"/>
    <xf numFmtId="0" fontId="24" fillId="0" borderId="0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vertical="center" shrinkToFit="1"/>
    </xf>
    <xf numFmtId="0" fontId="24" fillId="0" borderId="34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38" fontId="24" fillId="0" borderId="0" xfId="2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shrinkToFit="1"/>
    </xf>
    <xf numFmtId="38" fontId="24" fillId="0" borderId="0" xfId="2" applyFont="1" applyFill="1" applyBorder="1" applyAlignment="1" applyProtection="1"/>
    <xf numFmtId="0" fontId="8" fillId="0" borderId="22" xfId="0" applyFont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31" xfId="0" applyFont="1" applyFill="1" applyBorder="1" applyProtection="1"/>
    <xf numFmtId="181" fontId="4" fillId="0" borderId="31" xfId="0" applyNumberFormat="1" applyFont="1" applyFill="1" applyBorder="1" applyAlignment="1" applyProtection="1">
      <alignment horizontal="right"/>
    </xf>
    <xf numFmtId="0" fontId="6" fillId="0" borderId="31" xfId="0" applyFont="1" applyBorder="1"/>
    <xf numFmtId="0" fontId="5" fillId="0" borderId="31" xfId="0" applyFont="1" applyBorder="1" applyAlignment="1" applyProtection="1">
      <alignment horizontal="left" shrinkToFit="1"/>
    </xf>
    <xf numFmtId="181" fontId="5" fillId="0" borderId="31" xfId="0" applyNumberFormat="1" applyFont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3" fillId="3" borderId="57" xfId="0" applyFont="1" applyFill="1" applyBorder="1" applyAlignment="1" applyProtection="1">
      <alignment vertical="center" shrinkToFit="1"/>
    </xf>
    <xf numFmtId="0" fontId="23" fillId="3" borderId="58" xfId="0" applyFont="1" applyFill="1" applyBorder="1" applyAlignment="1" applyProtection="1">
      <alignment vertical="center" shrinkToFit="1"/>
    </xf>
    <xf numFmtId="0" fontId="23" fillId="3" borderId="60" xfId="0" applyFont="1" applyFill="1" applyBorder="1" applyAlignment="1" applyProtection="1">
      <alignment vertical="center" shrinkToFit="1"/>
    </xf>
    <xf numFmtId="0" fontId="23" fillId="3" borderId="61" xfId="0" applyFont="1" applyFill="1" applyBorder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0" fontId="5" fillId="0" borderId="6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62" xfId="0" applyFont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left" shrinkToFit="1"/>
    </xf>
    <xf numFmtId="181" fontId="24" fillId="0" borderId="31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horizontal="right" vertical="center" shrinkToFit="1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8" fillId="0" borderId="30" xfId="1" applyNumberFormat="1" applyFont="1" applyFill="1" applyBorder="1" applyAlignment="1" applyProtection="1">
      <alignment horizontal="center" vertical="center" shrinkToFit="1"/>
    </xf>
    <xf numFmtId="0" fontId="8" fillId="0" borderId="1" xfId="1" applyNumberFormat="1" applyFont="1" applyFill="1" applyBorder="1" applyAlignment="1" applyProtection="1">
      <alignment horizontal="left" vertical="center" shrinkToFit="1"/>
    </xf>
    <xf numFmtId="0" fontId="8" fillId="0" borderId="30" xfId="1" applyNumberFormat="1" applyFont="1" applyFill="1" applyBorder="1" applyAlignment="1" applyProtection="1">
      <alignment horizontal="left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horizontal="right" vertical="center"/>
    </xf>
    <xf numFmtId="0" fontId="8" fillId="0" borderId="35" xfId="0" applyFont="1" applyFill="1" applyBorder="1" applyAlignment="1" applyProtection="1">
      <alignment horizontal="right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left" vertical="center" shrinkToFit="1"/>
      <protection locked="0"/>
    </xf>
    <xf numFmtId="0" fontId="8" fillId="0" borderId="22" xfId="1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right" vertical="center" shrinkToFit="1"/>
    </xf>
    <xf numFmtId="0" fontId="8" fillId="0" borderId="31" xfId="0" applyFont="1" applyFill="1" applyBorder="1" applyAlignment="1" applyProtection="1">
      <alignment horizontal="right" vertical="center" shrinkToFit="1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Protection="1"/>
    <xf numFmtId="0" fontId="8" fillId="0" borderId="31" xfId="0" applyFont="1" applyFill="1" applyBorder="1" applyProtection="1"/>
  </cellXfs>
  <cellStyles count="3">
    <cellStyle name="桁区切り" xfId="2" builtinId="6"/>
    <cellStyle name="標準" xfId="0" builtinId="0"/>
    <cellStyle name="標準_小高男ト" xfId="1"/>
  </cellStyles>
  <dxfs count="28"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AFA"/>
        </patternFill>
      </fill>
    </dxf>
    <dxf>
      <font>
        <color theme="0"/>
      </font>
    </dxf>
    <dxf>
      <font>
        <color theme="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AFA"/>
        </patternFill>
      </fill>
    </dxf>
    <dxf>
      <fill>
        <patternFill>
          <bgColor rgb="FFFFF5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rgb="FFFFF5FA"/>
        </patternFill>
      </fill>
    </dxf>
    <dxf>
      <fill>
        <patternFill>
          <bgColor indexed="10"/>
        </patternFill>
      </fill>
    </dxf>
    <dxf>
      <fill>
        <patternFill>
          <bgColor rgb="FFFFF5FA"/>
        </patternFill>
      </fill>
    </dxf>
    <dxf>
      <fill>
        <patternFill patternType="solid">
          <fgColor indexed="9"/>
          <bgColor indexed="41"/>
        </patternFill>
      </fill>
    </dxf>
    <dxf>
      <fill>
        <patternFill>
          <bgColor rgb="FFFFF5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5FA"/>
      <color rgb="FF000099"/>
      <color rgb="FFFFF5D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65420;&#65386;&#65437;&#65404;&#65437;&#65400;&#65438;\&#12463;&#12521;&#12502;\&#22823;&#20250;&#12539;&#12452;&#12505;&#12531;&#12488;\0&#32068;&#21512;&#12379;\0&#21213;&#29575;-&#31361;&#25968;&#29575;-&#31361;&#29575;\base%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65420;&#65386;&#65437;&#65404;&#65437;&#65400;&#65438;\&#12463;&#12521;&#12502;\&#22823;&#20250;&#12539;&#12452;&#12505;&#12531;&#12488;\0&#32068;&#21512;&#12379;\0&#21213;&#29575;-&#31361;&#25968;&#29575;-&#31361;&#29575;\&#27096;&#24335;16_8&#21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予選 Ｐ"/>
      <sheetName val="組合せ掲示用"/>
      <sheetName val="対戦表"/>
      <sheetName val="ｼｰﾄﾞ"/>
      <sheetName val="ﾄｰﾅﾒﾝﾄ"/>
      <sheetName val="T1"/>
      <sheetName val="T2"/>
      <sheetName val="T3"/>
      <sheetName val="T4"/>
      <sheetName val="T5"/>
    </sheetNames>
    <sheetDataSet>
      <sheetData sheetId="0">
        <row r="5">
          <cell r="A5">
            <v>1</v>
          </cell>
          <cell r="B5" t="str">
            <v>大垣０１</v>
          </cell>
          <cell r="C5" t="str">
            <v>青木　伸行０１</v>
          </cell>
        </row>
        <row r="6">
          <cell r="A6">
            <v>2</v>
          </cell>
          <cell r="B6" t="str">
            <v>大垣０２</v>
          </cell>
          <cell r="C6" t="str">
            <v>青木　伸行０２</v>
          </cell>
        </row>
        <row r="7">
          <cell r="A7">
            <v>3</v>
          </cell>
          <cell r="B7" t="str">
            <v>大垣０３</v>
          </cell>
          <cell r="C7" t="str">
            <v>青木　伸行０３</v>
          </cell>
        </row>
        <row r="8">
          <cell r="A8">
            <v>4</v>
          </cell>
          <cell r="B8" t="str">
            <v>大垣０４</v>
          </cell>
          <cell r="C8" t="str">
            <v>青木　伸行０４</v>
          </cell>
        </row>
        <row r="9">
          <cell r="A9">
            <v>5</v>
          </cell>
          <cell r="B9" t="str">
            <v>大垣０５</v>
          </cell>
          <cell r="C9" t="str">
            <v>青木　伸行０５</v>
          </cell>
        </row>
        <row r="10">
          <cell r="A10">
            <v>6</v>
          </cell>
          <cell r="B10" t="str">
            <v>大垣０６</v>
          </cell>
          <cell r="C10" t="str">
            <v>青木　伸行０６</v>
          </cell>
        </row>
        <row r="11">
          <cell r="A11">
            <v>7</v>
          </cell>
          <cell r="B11" t="str">
            <v>大垣０７</v>
          </cell>
          <cell r="C11" t="str">
            <v>青木　伸行０７</v>
          </cell>
        </row>
        <row r="12">
          <cell r="A12">
            <v>8</v>
          </cell>
          <cell r="B12" t="str">
            <v>大垣０８</v>
          </cell>
          <cell r="C12" t="str">
            <v>青木　伸行０８</v>
          </cell>
        </row>
        <row r="13">
          <cell r="A13">
            <v>9</v>
          </cell>
          <cell r="B13" t="str">
            <v>大垣０９</v>
          </cell>
          <cell r="C13" t="str">
            <v>青木　伸行０９</v>
          </cell>
        </row>
        <row r="14">
          <cell r="A14">
            <v>10</v>
          </cell>
          <cell r="B14" t="str">
            <v>大垣１０</v>
          </cell>
          <cell r="C14" t="str">
            <v>青木　伸行１０</v>
          </cell>
        </row>
        <row r="15">
          <cell r="A15">
            <v>11</v>
          </cell>
          <cell r="B15" t="str">
            <v>大垣１１</v>
          </cell>
          <cell r="C15" t="str">
            <v>青木　伸行１１</v>
          </cell>
        </row>
        <row r="16">
          <cell r="A16">
            <v>12</v>
          </cell>
          <cell r="B16" t="str">
            <v>大垣１２</v>
          </cell>
          <cell r="C16" t="str">
            <v>青木　伸行１２</v>
          </cell>
        </row>
        <row r="17">
          <cell r="A17">
            <v>13</v>
          </cell>
          <cell r="B17" t="str">
            <v>大垣１３</v>
          </cell>
          <cell r="C17" t="str">
            <v>青木　伸行１３</v>
          </cell>
        </row>
        <row r="18">
          <cell r="A18">
            <v>14</v>
          </cell>
          <cell r="B18" t="str">
            <v>大垣１４</v>
          </cell>
          <cell r="C18" t="str">
            <v>青木　伸行１４</v>
          </cell>
        </row>
        <row r="19">
          <cell r="A19">
            <v>15</v>
          </cell>
          <cell r="B19" t="str">
            <v>大垣１５</v>
          </cell>
          <cell r="C19" t="str">
            <v>青木　伸行１５</v>
          </cell>
        </row>
        <row r="20">
          <cell r="A20">
            <v>16</v>
          </cell>
          <cell r="B20" t="str">
            <v>大垣１６</v>
          </cell>
          <cell r="C20" t="str">
            <v>青木　伸行１６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予選 Ｐ"/>
      <sheetName val="対戦表"/>
      <sheetName val="ｼｰﾄﾞ"/>
      <sheetName val="ﾄｰﾅﾒﾝﾄ"/>
      <sheetName val="T対戦表1"/>
      <sheetName val="T対戦表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A1:E21"/>
  <sheetViews>
    <sheetView tabSelected="1" view="pageBreakPreview" zoomScaleNormal="100" zoomScaleSheetLayoutView="85" workbookViewId="0">
      <selection activeCell="B5" sqref="B5"/>
    </sheetView>
  </sheetViews>
  <sheetFormatPr defaultRowHeight="13.5"/>
  <cols>
    <col min="1" max="1" width="6.7109375" style="121" bestFit="1" customWidth="1"/>
    <col min="2" max="2" width="20.28515625" style="120" bestFit="1" customWidth="1"/>
    <col min="3" max="3" width="17.85546875" style="121" bestFit="1" customWidth="1"/>
    <col min="4" max="4" width="27.42578125" style="120" bestFit="1" customWidth="1"/>
    <col min="5" max="5" width="21.85546875" style="120" bestFit="1" customWidth="1"/>
    <col min="6" max="16384" width="9.140625" style="120"/>
  </cols>
  <sheetData>
    <row r="1" spans="1:5">
      <c r="A1" s="262" t="s">
        <v>64</v>
      </c>
      <c r="B1" s="262"/>
      <c r="C1" s="262"/>
      <c r="D1" s="262"/>
      <c r="E1" s="262"/>
    </row>
    <row r="2" spans="1:5">
      <c r="A2" s="262" t="s">
        <v>65</v>
      </c>
      <c r="B2" s="262"/>
      <c r="C2" s="262"/>
      <c r="D2" s="223" t="s">
        <v>2</v>
      </c>
      <c r="E2" s="224">
        <f>COUNTA(C5:C20)</f>
        <v>16</v>
      </c>
    </row>
    <row r="3" spans="1:5">
      <c r="A3" s="263" t="s">
        <v>4</v>
      </c>
      <c r="B3" s="263"/>
      <c r="C3" s="225"/>
      <c r="D3" s="223" t="s">
        <v>12</v>
      </c>
      <c r="E3" s="226">
        <v>43184</v>
      </c>
    </row>
    <row r="4" spans="1:5">
      <c r="A4" s="119" t="s">
        <v>26</v>
      </c>
      <c r="B4" s="119" t="s">
        <v>11</v>
      </c>
      <c r="C4" s="119" t="s">
        <v>1</v>
      </c>
      <c r="D4" s="119" t="s">
        <v>25</v>
      </c>
      <c r="E4" s="119" t="s">
        <v>10</v>
      </c>
    </row>
    <row r="5" spans="1:5">
      <c r="A5" s="119">
        <f>IF(C5="","",ROW()-4)</f>
        <v>1</v>
      </c>
      <c r="B5" s="259" t="s">
        <v>66</v>
      </c>
      <c r="C5" s="260" t="s">
        <v>67</v>
      </c>
      <c r="D5" s="259" t="s">
        <v>68</v>
      </c>
      <c r="E5" s="124"/>
    </row>
    <row r="6" spans="1:5">
      <c r="A6" s="119">
        <f t="shared" ref="A6:A20" si="0">IF(C6="","",ROW()-4)</f>
        <v>2</v>
      </c>
      <c r="B6" s="259" t="s">
        <v>69</v>
      </c>
      <c r="C6" s="260" t="s">
        <v>70</v>
      </c>
      <c r="D6" s="259" t="s">
        <v>71</v>
      </c>
      <c r="E6" s="124"/>
    </row>
    <row r="7" spans="1:5">
      <c r="A7" s="119">
        <f t="shared" si="0"/>
        <v>3</v>
      </c>
      <c r="B7" s="259" t="s">
        <v>69</v>
      </c>
      <c r="C7" s="260" t="s">
        <v>72</v>
      </c>
      <c r="D7" s="259" t="s">
        <v>73</v>
      </c>
      <c r="E7" s="124"/>
    </row>
    <row r="8" spans="1:5">
      <c r="A8" s="119">
        <f t="shared" si="0"/>
        <v>4</v>
      </c>
      <c r="B8" s="259" t="s">
        <v>74</v>
      </c>
      <c r="C8" s="261" t="s">
        <v>75</v>
      </c>
      <c r="D8" s="259" t="s">
        <v>76</v>
      </c>
      <c r="E8" s="124"/>
    </row>
    <row r="9" spans="1:5">
      <c r="A9" s="119">
        <f t="shared" si="0"/>
        <v>5</v>
      </c>
      <c r="B9" s="259" t="s">
        <v>77</v>
      </c>
      <c r="C9" s="259" t="s">
        <v>78</v>
      </c>
      <c r="D9" s="259" t="s">
        <v>79</v>
      </c>
      <c r="E9" s="124"/>
    </row>
    <row r="10" spans="1:5">
      <c r="A10" s="119">
        <f t="shared" si="0"/>
        <v>6</v>
      </c>
      <c r="B10" s="259" t="s">
        <v>77</v>
      </c>
      <c r="C10" s="259" t="s">
        <v>80</v>
      </c>
      <c r="D10" s="259" t="s">
        <v>81</v>
      </c>
      <c r="E10" s="124"/>
    </row>
    <row r="11" spans="1:5">
      <c r="A11" s="119">
        <f t="shared" si="0"/>
        <v>7</v>
      </c>
      <c r="B11" s="259" t="s">
        <v>82</v>
      </c>
      <c r="C11" s="259" t="s">
        <v>83</v>
      </c>
      <c r="D11" s="259" t="s">
        <v>84</v>
      </c>
      <c r="E11" s="124"/>
    </row>
    <row r="12" spans="1:5">
      <c r="A12" s="119">
        <f t="shared" si="0"/>
        <v>8</v>
      </c>
      <c r="B12" s="259" t="s">
        <v>85</v>
      </c>
      <c r="C12" s="259" t="s">
        <v>86</v>
      </c>
      <c r="D12" s="259" t="s">
        <v>87</v>
      </c>
      <c r="E12" s="124"/>
    </row>
    <row r="13" spans="1:5">
      <c r="A13" s="119">
        <f t="shared" si="0"/>
        <v>9</v>
      </c>
      <c r="B13" s="259" t="s">
        <v>88</v>
      </c>
      <c r="C13" s="259" t="s">
        <v>89</v>
      </c>
      <c r="D13" s="259" t="s">
        <v>90</v>
      </c>
      <c r="E13" s="124"/>
    </row>
    <row r="14" spans="1:5">
      <c r="A14" s="119">
        <f t="shared" si="0"/>
        <v>10</v>
      </c>
      <c r="B14" s="259" t="s">
        <v>91</v>
      </c>
      <c r="C14" s="259" t="s">
        <v>92</v>
      </c>
      <c r="D14" s="259" t="s">
        <v>93</v>
      </c>
      <c r="E14" s="124"/>
    </row>
    <row r="15" spans="1:5">
      <c r="A15" s="119">
        <f t="shared" si="0"/>
        <v>11</v>
      </c>
      <c r="B15" s="259" t="s">
        <v>91</v>
      </c>
      <c r="C15" s="259" t="s">
        <v>94</v>
      </c>
      <c r="D15" s="259" t="s">
        <v>95</v>
      </c>
      <c r="E15" s="124"/>
    </row>
    <row r="16" spans="1:5">
      <c r="A16" s="119">
        <f t="shared" si="0"/>
        <v>12</v>
      </c>
      <c r="B16" s="259" t="s">
        <v>96</v>
      </c>
      <c r="C16" s="259" t="s">
        <v>97</v>
      </c>
      <c r="D16" s="259" t="s">
        <v>98</v>
      </c>
      <c r="E16" s="124"/>
    </row>
    <row r="17" spans="1:5">
      <c r="A17" s="119">
        <f t="shared" si="0"/>
        <v>13</v>
      </c>
      <c r="B17" s="259" t="s">
        <v>96</v>
      </c>
      <c r="C17" s="259" t="s">
        <v>99</v>
      </c>
      <c r="D17" s="259" t="s">
        <v>100</v>
      </c>
      <c r="E17" s="124"/>
    </row>
    <row r="18" spans="1:5">
      <c r="A18" s="119">
        <f t="shared" si="0"/>
        <v>14</v>
      </c>
      <c r="B18" s="259" t="s">
        <v>101</v>
      </c>
      <c r="C18" s="259" t="s">
        <v>102</v>
      </c>
      <c r="D18" s="259" t="s">
        <v>103</v>
      </c>
      <c r="E18" s="124"/>
    </row>
    <row r="19" spans="1:5">
      <c r="A19" s="119">
        <f t="shared" si="0"/>
        <v>15</v>
      </c>
      <c r="B19" s="259" t="s">
        <v>96</v>
      </c>
      <c r="C19" s="259" t="s">
        <v>104</v>
      </c>
      <c r="D19" s="259" t="s">
        <v>105</v>
      </c>
      <c r="E19" s="124"/>
    </row>
    <row r="20" spans="1:5">
      <c r="A20" s="119">
        <f t="shared" si="0"/>
        <v>16</v>
      </c>
      <c r="B20" s="259" t="s">
        <v>101</v>
      </c>
      <c r="C20" s="259" t="s">
        <v>106</v>
      </c>
      <c r="D20" s="259" t="s">
        <v>107</v>
      </c>
      <c r="E20" s="124"/>
    </row>
    <row r="21" spans="1:5">
      <c r="A21" s="122">
        <v>100</v>
      </c>
      <c r="B21" s="123" t="s">
        <v>33</v>
      </c>
      <c r="C21" s="122" t="s">
        <v>34</v>
      </c>
      <c r="D21" s="122" t="s">
        <v>35</v>
      </c>
    </row>
  </sheetData>
  <sheetProtection sheet="1" objects="1" scenarios="1" formatCells="0" selectLockedCells="1"/>
  <mergeCells count="3">
    <mergeCell ref="A1:E1"/>
    <mergeCell ref="A3:B3"/>
    <mergeCell ref="A2:C2"/>
  </mergeCells>
  <phoneticPr fontId="1"/>
  <conditionalFormatting sqref="B21">
    <cfRule type="cellIs" dxfId="27" priority="2" stopIfTrue="1" operator="equal">
      <formula>""</formula>
    </cfRule>
    <cfRule type="cellIs" dxfId="26" priority="3" stopIfTrue="1" operator="notEqual">
      <formula>""</formula>
    </cfRule>
  </conditionalFormatting>
  <conditionalFormatting sqref="B5:E20">
    <cfRule type="cellIs" dxfId="25" priority="1" operator="equal">
      <formula>""</formula>
    </cfRule>
  </conditionalFormatting>
  <printOptions horizontalCentered="1"/>
  <pageMargins left="0.59055118110236227" right="0.59055118110236227" top="0.59055118110236227" bottom="0.59055118110236227" header="0.39370078740157483" footer="0.39370078740157483"/>
  <pageSetup paperSize="9" fitToHeight="0" orientation="portrait" horizontalDpi="4294967292" verticalDpi="300" r:id="rId1"/>
  <headerFooter alignWithMargins="0">
    <oddHeader>&amp;L&amp;"ＭＳ ゴシック,標準"&amp;11&amp;D  &amp;T&amp;R&amp;"ＭＳ ゴシック,標準"&amp;11&amp;P / &amp;Nページ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9"/>
  <sheetViews>
    <sheetView view="pageBreakPreview" topLeftCell="A13" zoomScaleNormal="100" zoomScaleSheetLayoutView="115" workbookViewId="0">
      <selection activeCell="J26" sqref="J26"/>
    </sheetView>
  </sheetViews>
  <sheetFormatPr defaultRowHeight="12" outlineLevelCol="1"/>
  <cols>
    <col min="1" max="1" width="3.7109375" style="92" bestFit="1" customWidth="1"/>
    <col min="2" max="2" width="3.7109375" style="92" customWidth="1"/>
    <col min="3" max="3" width="3.5703125" style="92" bestFit="1" customWidth="1"/>
    <col min="4" max="4" width="5.42578125" style="92" hidden="1" customWidth="1" outlineLevel="1"/>
    <col min="5" max="5" width="19.140625" style="93" bestFit="1" customWidth="1" collapsed="1"/>
    <col min="6" max="6" width="15.140625" style="92" bestFit="1" customWidth="1"/>
    <col min="7" max="12" width="3.5703125" style="92" bestFit="1" customWidth="1"/>
    <col min="13" max="24" width="2.7109375" style="92" hidden="1" customWidth="1" outlineLevel="1"/>
    <col min="25" max="25" width="5.42578125" style="92" hidden="1" customWidth="1" outlineLevel="1"/>
    <col min="26" max="26" width="5.42578125" style="92" bestFit="1" customWidth="1" collapsed="1"/>
    <col min="27" max="27" width="5.42578125" style="92" bestFit="1" customWidth="1"/>
    <col min="28" max="28" width="6.140625" style="92" bestFit="1" customWidth="1"/>
    <col min="29" max="29" width="4" style="92" bestFit="1" customWidth="1"/>
    <col min="30" max="30" width="5.42578125" style="92" bestFit="1" customWidth="1"/>
    <col min="31" max="31" width="7.28515625" style="92" bestFit="1" customWidth="1"/>
    <col min="32" max="32" width="7.28515625" style="92" customWidth="1"/>
    <col min="33" max="33" width="5.42578125" style="92" bestFit="1" customWidth="1"/>
    <col min="34" max="34" width="11.7109375" style="92" bestFit="1" customWidth="1"/>
    <col min="35" max="35" width="5.42578125" style="94" bestFit="1" customWidth="1"/>
    <col min="36" max="38" width="9.140625" style="92"/>
    <col min="39" max="44" width="2.7109375" style="92" bestFit="1" customWidth="1"/>
    <col min="45" max="16384" width="9.140625" style="92"/>
  </cols>
  <sheetData>
    <row r="1" spans="1:44">
      <c r="A1" s="264" t="str">
        <f>名簿!A1</f>
        <v>第9回川本杯はしまモアフェンシング大会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I1" s="92"/>
    </row>
    <row r="2" spans="1:44">
      <c r="A2" s="264" t="str">
        <f>"　"&amp;名簿!A2</f>
        <v>　小学1-3年女子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I2" s="92"/>
      <c r="AJ2" s="125"/>
    </row>
    <row r="3" spans="1:44">
      <c r="A3" s="265" t="str">
        <f>"　　"&amp;名簿!A3</f>
        <v>　　1回戦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6">
        <f>名簿!E3</f>
        <v>43184</v>
      </c>
      <c r="AC3" s="266"/>
      <c r="AD3" s="266"/>
      <c r="AE3" s="266"/>
      <c r="AF3" s="126"/>
      <c r="AG3" s="126"/>
      <c r="AI3" s="92"/>
    </row>
    <row r="4" spans="1:44" ht="24">
      <c r="A4" s="127" t="s">
        <v>36</v>
      </c>
      <c r="B4" s="127" t="s">
        <v>15</v>
      </c>
      <c r="C4" s="128" t="s">
        <v>14</v>
      </c>
      <c r="D4" s="127" t="s">
        <v>3</v>
      </c>
      <c r="E4" s="129" t="s">
        <v>16</v>
      </c>
      <c r="F4" s="128" t="s">
        <v>8</v>
      </c>
      <c r="G4" s="130">
        <v>1</v>
      </c>
      <c r="H4" s="131">
        <v>2</v>
      </c>
      <c r="I4" s="131">
        <v>3</v>
      </c>
      <c r="J4" s="131">
        <v>4</v>
      </c>
      <c r="K4" s="131">
        <v>5</v>
      </c>
      <c r="L4" s="132">
        <v>6</v>
      </c>
      <c r="M4" s="130">
        <v>1</v>
      </c>
      <c r="N4" s="131">
        <v>2</v>
      </c>
      <c r="O4" s="131">
        <v>3</v>
      </c>
      <c r="P4" s="131">
        <v>4</v>
      </c>
      <c r="Q4" s="131">
        <v>5</v>
      </c>
      <c r="R4" s="133">
        <v>6</v>
      </c>
      <c r="S4" s="130">
        <v>1</v>
      </c>
      <c r="T4" s="131">
        <v>2</v>
      </c>
      <c r="U4" s="131">
        <v>3</v>
      </c>
      <c r="V4" s="131">
        <v>4</v>
      </c>
      <c r="W4" s="131">
        <v>5</v>
      </c>
      <c r="X4" s="133">
        <v>6</v>
      </c>
      <c r="Y4" s="134" t="s">
        <v>3</v>
      </c>
      <c r="Z4" s="135" t="s">
        <v>47</v>
      </c>
      <c r="AA4" s="136" t="s">
        <v>48</v>
      </c>
      <c r="AB4" s="127" t="s">
        <v>49</v>
      </c>
      <c r="AC4" s="135" t="s">
        <v>50</v>
      </c>
      <c r="AD4" s="136" t="s">
        <v>51</v>
      </c>
      <c r="AE4" s="127" t="s">
        <v>52</v>
      </c>
      <c r="AF4" s="127" t="s">
        <v>46</v>
      </c>
      <c r="AG4" s="137" t="s">
        <v>40</v>
      </c>
      <c r="AH4" s="137"/>
      <c r="AJ4" s="138"/>
      <c r="AK4" s="137"/>
      <c r="AM4" s="139" t="s">
        <v>9</v>
      </c>
      <c r="AN4" s="139"/>
      <c r="AO4" s="139"/>
      <c r="AP4" s="139"/>
      <c r="AQ4" s="139"/>
      <c r="AR4" s="139"/>
    </row>
    <row r="5" spans="1:44">
      <c r="A5" s="140">
        <v>1</v>
      </c>
      <c r="B5" s="141">
        <v>1</v>
      </c>
      <c r="C5" s="142">
        <f>IF(F5="","",1)</f>
        <v>1</v>
      </c>
      <c r="D5" s="143">
        <f t="shared" ref="D5:D28" si="0">IF(B5&gt;0,RANK(AH5,$AH$5:$AH$28,0),"")</f>
        <v>3</v>
      </c>
      <c r="E5" s="144" t="str">
        <f>IF(ISERROR(VLOOKUP(B5,名簿,2,FALSE)),"",VLOOKUP(B5,名簿,2,FALSE))</f>
        <v>アレ　フェンシング</v>
      </c>
      <c r="F5" s="145" t="str">
        <f t="shared" ref="F5:F28" si="1">IF(ISERROR(VLOOKUP(B5,名簿,3,FALSE)),"",VLOOKUP(B5,名簿,3,FALSE))</f>
        <v>古市　颯希</v>
      </c>
      <c r="G5" s="146"/>
      <c r="H5" s="147" t="s">
        <v>108</v>
      </c>
      <c r="I5" s="147" t="s">
        <v>108</v>
      </c>
      <c r="J5" s="147" t="s">
        <v>108</v>
      </c>
      <c r="K5" s="147"/>
      <c r="L5" s="148"/>
      <c r="M5" s="149"/>
      <c r="N5" s="150" t="str">
        <f>LEFT(H5,1)</f>
        <v>v</v>
      </c>
      <c r="O5" s="150" t="str">
        <f>LEFT(I5,1)</f>
        <v>v</v>
      </c>
      <c r="P5" s="150" t="str">
        <f>LEFT(J5,1)</f>
        <v>v</v>
      </c>
      <c r="Q5" s="150" t="str">
        <f>LEFT(K5,1)</f>
        <v/>
      </c>
      <c r="R5" s="151" t="str">
        <f>LEFT(L5,1)</f>
        <v/>
      </c>
      <c r="S5" s="149"/>
      <c r="T5" s="150">
        <f>IF(ISERROR(VALUE(RIGHT(H5,1))),"",VALUE(RIGHT(H5,1)))</f>
        <v>5</v>
      </c>
      <c r="U5" s="150">
        <f>IF(ISERROR(VALUE(RIGHT(I5,1))),"",VALUE(RIGHT(I5,1)))</f>
        <v>5</v>
      </c>
      <c r="V5" s="150">
        <f>IF(ISERROR(VALUE(RIGHT(J5,1))),"",VALUE(RIGHT(J5,1)))</f>
        <v>5</v>
      </c>
      <c r="W5" s="150" t="str">
        <f>IF(ISERROR(VALUE(RIGHT(K5,1))),"",VALUE(RIGHT(K5,1)))</f>
        <v/>
      </c>
      <c r="X5" s="151" t="str">
        <f>IF(ISERROR(VALUE(RIGHT(L5,1))),"",VALUE(RIGHT(L5,1)))</f>
        <v/>
      </c>
      <c r="Y5" s="152">
        <f>D5</f>
        <v>3</v>
      </c>
      <c r="Z5" s="153">
        <f t="shared" ref="Z5:Z28" si="2">IF(B5&gt;0,COUNTA(G5:L5),"")</f>
        <v>3</v>
      </c>
      <c r="AA5" s="154">
        <f t="shared" ref="AA5:AA28" si="3">IF(B5&gt;0,COUNTIF(M5:R5,"V"),"")</f>
        <v>3</v>
      </c>
      <c r="AB5" s="155">
        <f t="shared" ref="AB5:AB28" si="4">IF(ISERROR(ROUND(AA5/Z5,3)),"",ROUND(AA5/Z5,3))</f>
        <v>1</v>
      </c>
      <c r="AC5" s="156">
        <f>IF(B5&gt;0,SUM(S5:X5),"")</f>
        <v>15</v>
      </c>
      <c r="AD5" s="154">
        <f>IF(B5&gt;0,SUM(S5:S10),"")</f>
        <v>4</v>
      </c>
      <c r="AE5" s="143">
        <f>IF(AD5&lt;0,99,IF(ISERROR(AC5-AD5),"",AC5-AD5))</f>
        <v>11</v>
      </c>
      <c r="AF5" s="143">
        <f>IF(ISERROR(D5),"",D5)</f>
        <v>3</v>
      </c>
      <c r="AG5" s="206"/>
      <c r="AH5" s="209">
        <f>IF(B5&gt;0,AB5*100000000+AE5*100000+AC5*1000+AC5*10-B5,"")</f>
        <v>101115149</v>
      </c>
      <c r="AJ5" s="157"/>
      <c r="AK5" s="157"/>
      <c r="AM5" s="158"/>
      <c r="AN5" s="159">
        <f>IF(N5="V",IF(M6="D",0,1),IF(N5="D",IF(M6="V",0,1),1))</f>
        <v>1</v>
      </c>
      <c r="AO5" s="159">
        <f>IF(O5="V",IF(M7="D",0,1),IF(O5="D",IF(M7="V",0,1),1))</f>
        <v>1</v>
      </c>
      <c r="AP5" s="159">
        <f>IF(P5="V",IF(M8="D",0,1),IF(P5="D",IF(M8="V",0,1),1))</f>
        <v>1</v>
      </c>
      <c r="AQ5" s="159">
        <f>IF(Q5="V",IF(M9="D",0,1),IF(Q5="D",IF(M9="V",0,1),1))</f>
        <v>1</v>
      </c>
      <c r="AR5" s="160">
        <f>IF(R5="V",IF(M10="D",0,1),IF(R5="D",IF(M10="V",0,1),1))</f>
        <v>1</v>
      </c>
    </row>
    <row r="6" spans="1:44">
      <c r="A6" s="161">
        <f>IF(B6="","",1)</f>
        <v>1</v>
      </c>
      <c r="B6" s="162">
        <v>7</v>
      </c>
      <c r="C6" s="163">
        <f>IF(F6="","",2)</f>
        <v>2</v>
      </c>
      <c r="D6" s="164">
        <f t="shared" si="0"/>
        <v>11</v>
      </c>
      <c r="E6" s="165" t="str">
        <f t="shared" ref="E6:E28" si="5">IF(ISERROR(VLOOKUP(B6,名簿,2,FALSE)),"",VLOOKUP(B6,名簿,2,FALSE))</f>
        <v>滋賀ＪＦＣ</v>
      </c>
      <c r="F6" s="166" t="str">
        <f t="shared" si="1"/>
        <v>畑中　七葉</v>
      </c>
      <c r="G6" s="167">
        <v>0</v>
      </c>
      <c r="H6" s="168"/>
      <c r="I6" s="169">
        <v>3</v>
      </c>
      <c r="J6" s="169" t="s">
        <v>108</v>
      </c>
      <c r="K6" s="169"/>
      <c r="L6" s="170"/>
      <c r="M6" s="171" t="str">
        <f>LEFT(G6,1)</f>
        <v>0</v>
      </c>
      <c r="N6" s="172"/>
      <c r="O6" s="172" t="str">
        <f t="shared" ref="O6:O11" si="6">LEFT(I6,1)</f>
        <v>3</v>
      </c>
      <c r="P6" s="172" t="str">
        <f t="shared" ref="P6:P11" si="7">LEFT(J6,1)</f>
        <v>v</v>
      </c>
      <c r="Q6" s="172" t="str">
        <f t="shared" ref="Q6:Q11" si="8">LEFT(K6,1)</f>
        <v/>
      </c>
      <c r="R6" s="173" t="str">
        <f t="shared" ref="R6:R11" si="9">LEFT(L6,1)</f>
        <v/>
      </c>
      <c r="S6" s="171">
        <f>IF(ISERROR(VALUE(RIGHT(G6,1))),"",VALUE(RIGHT(G6,1)))</f>
        <v>0</v>
      </c>
      <c r="T6" s="172"/>
      <c r="U6" s="172">
        <f>IF(ISERROR(VALUE(RIGHT(I6,1))),"",VALUE(RIGHT(I6,1)))</f>
        <v>3</v>
      </c>
      <c r="V6" s="172">
        <f>IF(ISERROR(VALUE(RIGHT(J6,1))),"",VALUE(RIGHT(J6,1)))</f>
        <v>5</v>
      </c>
      <c r="W6" s="172" t="str">
        <f>IF(ISERROR(VALUE(RIGHT(K6,1))),"",VALUE(RIGHT(K6,1)))</f>
        <v/>
      </c>
      <c r="X6" s="173" t="str">
        <f>IF(ISERROR(VALUE(RIGHT(L6,1))),"",VALUE(RIGHT(L6,1)))</f>
        <v/>
      </c>
      <c r="Y6" s="174">
        <f t="shared" ref="Y6:Y28" si="10">D6</f>
        <v>11</v>
      </c>
      <c r="Z6" s="175">
        <f t="shared" si="2"/>
        <v>3</v>
      </c>
      <c r="AA6" s="176">
        <f t="shared" si="3"/>
        <v>1</v>
      </c>
      <c r="AB6" s="177">
        <f t="shared" si="4"/>
        <v>0.33300000000000002</v>
      </c>
      <c r="AC6" s="178">
        <f t="shared" ref="AC6:AC28" si="11">IF(B6&gt;0,SUM(S6:X6),"")</f>
        <v>8</v>
      </c>
      <c r="AD6" s="176">
        <f>IF(B6&gt;0,SUM(T5:T10),"")</f>
        <v>9</v>
      </c>
      <c r="AE6" s="164">
        <f t="shared" ref="AE6:AE28" si="12">IF(AD6&lt;0,99,IF(ISERROR(AC6-AD6),"",AC6-AD6))</f>
        <v>-1</v>
      </c>
      <c r="AF6" s="164">
        <f t="shared" ref="AF6:AF15" si="13">IF(ISERROR(D6),"",D6)</f>
        <v>11</v>
      </c>
      <c r="AG6" s="207"/>
      <c r="AH6" s="210">
        <f t="shared" ref="AH6:AH28" si="14">IF(B6&gt;0,AB6*100000000+AE6*100000+AC6*1000+AC6*10-B6,"")</f>
        <v>33208073</v>
      </c>
      <c r="AJ6" s="157"/>
      <c r="AK6" s="157"/>
      <c r="AM6" s="179">
        <f>IF(N5="V",IF(M6="D",0,1),IF(N5="D",IF(M6="V",0,1),1))</f>
        <v>1</v>
      </c>
      <c r="AN6" s="180"/>
      <c r="AO6" s="180">
        <f>IF(O6="V",IF(N7="D",0,1),IF(O6="D",IF(N7="V",0,1),1))</f>
        <v>1</v>
      </c>
      <c r="AP6" s="180">
        <f>IF(P6="V",IF(N8="D",0,1),IF(P6="D",IF(N8="V",0,1),1))</f>
        <v>1</v>
      </c>
      <c r="AQ6" s="180">
        <f>IF(Q6="V",IF(N9="D",0,1),IF(Q6="D",IF(N9="V",0,1),1))</f>
        <v>1</v>
      </c>
      <c r="AR6" s="181">
        <f>IF(R6="V",IF(N10="D",0,1),IF(R6="D",IF(N10="V",0,1),1))</f>
        <v>1</v>
      </c>
    </row>
    <row r="7" spans="1:44">
      <c r="A7" s="161">
        <f>IF(B7="","",1)</f>
        <v>1</v>
      </c>
      <c r="B7" s="162">
        <v>12</v>
      </c>
      <c r="C7" s="163">
        <f>IF(F7="","",3)</f>
        <v>3</v>
      </c>
      <c r="D7" s="164">
        <f t="shared" si="0"/>
        <v>6</v>
      </c>
      <c r="E7" s="165" t="str">
        <f t="shared" si="5"/>
        <v>はしまモア</v>
      </c>
      <c r="F7" s="166" t="str">
        <f>IF(ISERROR(VLOOKUP(B7,名簿,3,FALSE)),"",VLOOKUP(B7,名簿,3,FALSE))</f>
        <v>杉山　妃埜</v>
      </c>
      <c r="G7" s="167">
        <v>4</v>
      </c>
      <c r="H7" s="169" t="s">
        <v>109</v>
      </c>
      <c r="I7" s="168"/>
      <c r="J7" s="169" t="s">
        <v>108</v>
      </c>
      <c r="K7" s="169"/>
      <c r="L7" s="170"/>
      <c r="M7" s="171" t="str">
        <f>LEFT(G7,1)</f>
        <v>4</v>
      </c>
      <c r="N7" s="172" t="str">
        <f>LEFT(H7,1)</f>
        <v>v</v>
      </c>
      <c r="O7" s="172"/>
      <c r="P7" s="172" t="str">
        <f t="shared" si="7"/>
        <v>v</v>
      </c>
      <c r="Q7" s="172" t="str">
        <f t="shared" si="8"/>
        <v/>
      </c>
      <c r="R7" s="173" t="str">
        <f t="shared" si="9"/>
        <v/>
      </c>
      <c r="S7" s="171">
        <f>IF(ISERROR(VALUE(RIGHT(G7,1))),"",VALUE(RIGHT(G7,1)))</f>
        <v>4</v>
      </c>
      <c r="T7" s="172">
        <f>IF(ISERROR(VALUE(RIGHT(H7,1))),"",VALUE(RIGHT(H7,1)))</f>
        <v>4</v>
      </c>
      <c r="U7" s="172"/>
      <c r="V7" s="172">
        <f>IF(ISERROR(VALUE(RIGHT(J7,1))),"",VALUE(RIGHT(J7,1)))</f>
        <v>5</v>
      </c>
      <c r="W7" s="172" t="str">
        <f>IF(ISERROR(VALUE(RIGHT(K7,1))),"",VALUE(RIGHT(K7,1)))</f>
        <v/>
      </c>
      <c r="X7" s="173" t="str">
        <f>IF(ISERROR(VALUE(RIGHT(L7,1))),"",VALUE(RIGHT(L7,1)))</f>
        <v/>
      </c>
      <c r="Y7" s="174">
        <f t="shared" si="10"/>
        <v>6</v>
      </c>
      <c r="Z7" s="175">
        <f t="shared" si="2"/>
        <v>3</v>
      </c>
      <c r="AA7" s="176">
        <f t="shared" si="3"/>
        <v>2</v>
      </c>
      <c r="AB7" s="177">
        <f t="shared" si="4"/>
        <v>0.66700000000000004</v>
      </c>
      <c r="AC7" s="178">
        <f t="shared" si="11"/>
        <v>13</v>
      </c>
      <c r="AD7" s="176">
        <f>IF(B7&gt;0,SUM(U5:U10),"")</f>
        <v>8</v>
      </c>
      <c r="AE7" s="164">
        <f t="shared" si="12"/>
        <v>5</v>
      </c>
      <c r="AF7" s="164">
        <f t="shared" si="13"/>
        <v>6</v>
      </c>
      <c r="AG7" s="207"/>
      <c r="AH7" s="210">
        <f t="shared" si="14"/>
        <v>67213118</v>
      </c>
      <c r="AJ7" s="157"/>
      <c r="AK7" s="157"/>
      <c r="AM7" s="179">
        <f>IF(O5="V",IF(M7="D",0,1),IF(O5="D",IF(M7="V",0,1),1))</f>
        <v>1</v>
      </c>
      <c r="AN7" s="180">
        <f>IF(O6="V",IF(N7="D",0,1),IF(O6="D",IF(N7="V",0,1),1))</f>
        <v>1</v>
      </c>
      <c r="AO7" s="180"/>
      <c r="AP7" s="180">
        <f>IF(P7="V",IF(O8="D",0,1),IF(P7="D",IF(O8="V",0,1),1))</f>
        <v>1</v>
      </c>
      <c r="AQ7" s="180">
        <f>IF(Q7="V",IF(O9="D",0,1),IF(Q7="D",IF(O9="V",0,1),1))</f>
        <v>1</v>
      </c>
      <c r="AR7" s="181">
        <f>IF(R7="V",IF(O10="D",0,1),IF(R7="D",IF(O10="V",0,1),1))</f>
        <v>1</v>
      </c>
    </row>
    <row r="8" spans="1:44">
      <c r="A8" s="161">
        <f>IF(B8="","",1)</f>
        <v>1</v>
      </c>
      <c r="B8" s="162">
        <v>16</v>
      </c>
      <c r="C8" s="163">
        <f>IF(F8="","",4)</f>
        <v>4</v>
      </c>
      <c r="D8" s="164">
        <f t="shared" si="0"/>
        <v>16</v>
      </c>
      <c r="E8" s="165" t="str">
        <f t="shared" si="5"/>
        <v>はしまモア</v>
      </c>
      <c r="F8" s="166" t="str">
        <f t="shared" si="1"/>
        <v>勝野　心空</v>
      </c>
      <c r="G8" s="167">
        <v>0</v>
      </c>
      <c r="H8" s="169">
        <v>0</v>
      </c>
      <c r="I8" s="169">
        <v>0</v>
      </c>
      <c r="J8" s="168"/>
      <c r="K8" s="169"/>
      <c r="L8" s="170"/>
      <c r="M8" s="171" t="str">
        <f>LEFT(G8,1)</f>
        <v>0</v>
      </c>
      <c r="N8" s="172" t="str">
        <f>LEFT(H8,1)</f>
        <v>0</v>
      </c>
      <c r="O8" s="172" t="str">
        <f t="shared" si="6"/>
        <v>0</v>
      </c>
      <c r="P8" s="172"/>
      <c r="Q8" s="172" t="str">
        <f t="shared" si="8"/>
        <v/>
      </c>
      <c r="R8" s="173" t="str">
        <f t="shared" si="9"/>
        <v/>
      </c>
      <c r="S8" s="171">
        <f>IF(ISERROR(VALUE(RIGHT(G8,1))),"",VALUE(RIGHT(G8,1)))</f>
        <v>0</v>
      </c>
      <c r="T8" s="172">
        <f>IF(ISERROR(VALUE(RIGHT(H8,1))),"",VALUE(RIGHT(H8,1)))</f>
        <v>0</v>
      </c>
      <c r="U8" s="172">
        <f>IF(ISERROR(VALUE(RIGHT(I8,1))),"",VALUE(RIGHT(I8,1)))</f>
        <v>0</v>
      </c>
      <c r="V8" s="172"/>
      <c r="W8" s="172" t="str">
        <f>IF(ISERROR(VALUE(RIGHT(K8,1))),"",VALUE(RIGHT(K8,1)))</f>
        <v/>
      </c>
      <c r="X8" s="173" t="str">
        <f>IF(ISERROR(VALUE(RIGHT(L8,1))),"",VALUE(RIGHT(L8,1)))</f>
        <v/>
      </c>
      <c r="Y8" s="174">
        <f t="shared" si="10"/>
        <v>16</v>
      </c>
      <c r="Z8" s="175">
        <f t="shared" si="2"/>
        <v>3</v>
      </c>
      <c r="AA8" s="176">
        <f t="shared" si="3"/>
        <v>0</v>
      </c>
      <c r="AB8" s="177">
        <f t="shared" si="4"/>
        <v>0</v>
      </c>
      <c r="AC8" s="178">
        <f t="shared" si="11"/>
        <v>0</v>
      </c>
      <c r="AD8" s="176">
        <f>IF(B8&gt;0,SUM(V5:V10),"")</f>
        <v>15</v>
      </c>
      <c r="AE8" s="164">
        <f t="shared" si="12"/>
        <v>-15</v>
      </c>
      <c r="AF8" s="164">
        <f t="shared" si="13"/>
        <v>16</v>
      </c>
      <c r="AG8" s="207"/>
      <c r="AH8" s="210">
        <f t="shared" si="14"/>
        <v>-1500016</v>
      </c>
      <c r="AJ8" s="157"/>
      <c r="AK8" s="157"/>
      <c r="AM8" s="179">
        <f>IF(P5="V",IF(M8="D",0,1),IF(P5="D",IF(M8="V",0,1),1))</f>
        <v>1</v>
      </c>
      <c r="AN8" s="180">
        <f>IF(P6="V",IF(N8="D",0,1),IF(P6="D",IF(N8="V",0,1),1))</f>
        <v>1</v>
      </c>
      <c r="AO8" s="180">
        <f>IF(P7="V",IF(O8="D",0,1),IF(P7="D",IF(O8="V",0,1),1))</f>
        <v>1</v>
      </c>
      <c r="AP8" s="180"/>
      <c r="AQ8" s="180">
        <f>IF(Q8="V",IF(P9="D",0,1),IF(Q8="D",IF(P9="V",0,1),1))</f>
        <v>1</v>
      </c>
      <c r="AR8" s="181">
        <f>IF(R8="V",IF(P10="D",0,1),IF(R8="D",IF(P10="V",0,1),1))</f>
        <v>1</v>
      </c>
    </row>
    <row r="9" spans="1:44">
      <c r="A9" s="161" t="str">
        <f>IF(B9="","",1)</f>
        <v/>
      </c>
      <c r="B9" s="162"/>
      <c r="C9" s="163" t="str">
        <f>IF(F9="","",5)</f>
        <v/>
      </c>
      <c r="D9" s="164" t="str">
        <f t="shared" si="0"/>
        <v/>
      </c>
      <c r="E9" s="165" t="str">
        <f t="shared" si="5"/>
        <v/>
      </c>
      <c r="F9" s="166" t="str">
        <f t="shared" si="1"/>
        <v/>
      </c>
      <c r="G9" s="167"/>
      <c r="H9" s="169"/>
      <c r="I9" s="169"/>
      <c r="J9" s="169"/>
      <c r="K9" s="168"/>
      <c r="L9" s="170"/>
      <c r="M9" s="171" t="str">
        <f>LEFT(G9,1)</f>
        <v/>
      </c>
      <c r="N9" s="172" t="str">
        <f>LEFT(H9,1)</f>
        <v/>
      </c>
      <c r="O9" s="172" t="str">
        <f t="shared" si="6"/>
        <v/>
      </c>
      <c r="P9" s="172" t="str">
        <f t="shared" si="7"/>
        <v/>
      </c>
      <c r="Q9" s="172"/>
      <c r="R9" s="173" t="str">
        <f t="shared" si="9"/>
        <v/>
      </c>
      <c r="S9" s="171" t="str">
        <f>IF(ISERROR(VALUE(RIGHT(G9,1))),"",VALUE(RIGHT(G9,1)))</f>
        <v/>
      </c>
      <c r="T9" s="172" t="str">
        <f>IF(ISERROR(VALUE(RIGHT(H9,1))),"",VALUE(RIGHT(H9,1)))</f>
        <v/>
      </c>
      <c r="U9" s="172" t="str">
        <f>IF(ISERROR(VALUE(RIGHT(I9,1))),"",VALUE(RIGHT(I9,1)))</f>
        <v/>
      </c>
      <c r="V9" s="172" t="str">
        <f>IF(ISERROR(VALUE(RIGHT(J9,1))),"",VALUE(RIGHT(J9,1)))</f>
        <v/>
      </c>
      <c r="W9" s="172"/>
      <c r="X9" s="173" t="str">
        <f>IF(ISERROR(VALUE(RIGHT(L9,1))),"",VALUE(RIGHT(L9,1)))</f>
        <v/>
      </c>
      <c r="Y9" s="174" t="str">
        <f t="shared" si="10"/>
        <v/>
      </c>
      <c r="Z9" s="175" t="str">
        <f t="shared" si="2"/>
        <v/>
      </c>
      <c r="AA9" s="176" t="str">
        <f t="shared" si="3"/>
        <v/>
      </c>
      <c r="AB9" s="177" t="str">
        <f t="shared" si="4"/>
        <v/>
      </c>
      <c r="AC9" s="178" t="str">
        <f t="shared" si="11"/>
        <v/>
      </c>
      <c r="AD9" s="176" t="str">
        <f>IF(B9&gt;0,SUM(W5:W10),"")</f>
        <v/>
      </c>
      <c r="AE9" s="164" t="str">
        <f t="shared" si="12"/>
        <v/>
      </c>
      <c r="AF9" s="164" t="str">
        <f t="shared" si="13"/>
        <v/>
      </c>
      <c r="AG9" s="207"/>
      <c r="AH9" s="210" t="str">
        <f t="shared" si="14"/>
        <v/>
      </c>
      <c r="AJ9" s="157"/>
      <c r="AK9" s="157"/>
      <c r="AM9" s="179">
        <f>IF(Q5="V",IF(M9="D",0,1),IF(Q5="D",IF(M9="V",0,1),1))</f>
        <v>1</v>
      </c>
      <c r="AN9" s="180">
        <f>IF(Q6="V",IF(N9="D",0,1),IF(Q6="D",IF(N9="V",0,1),1))</f>
        <v>1</v>
      </c>
      <c r="AO9" s="180">
        <f>IF(Q7="V",IF(O9="D",0,1),IF(Q7="D",IF(O9="V",0,1),1))</f>
        <v>1</v>
      </c>
      <c r="AP9" s="180">
        <f>IF(Q8="V",IF(P9="D",0,1),IF(Q8="D",IF(P9="V",0,1),1))</f>
        <v>1</v>
      </c>
      <c r="AQ9" s="180"/>
      <c r="AR9" s="181">
        <f>IF(R9="V",IF(Q10="D",0,1),IF(R9="D",IF(Q10="V",0,1),1))</f>
        <v>1</v>
      </c>
    </row>
    <row r="10" spans="1:44">
      <c r="A10" s="182" t="str">
        <f>IF(B10="","",1)</f>
        <v/>
      </c>
      <c r="B10" s="183"/>
      <c r="C10" s="184" t="str">
        <f>IF(F10="","",6)</f>
        <v/>
      </c>
      <c r="D10" s="185" t="str">
        <f t="shared" si="0"/>
        <v/>
      </c>
      <c r="E10" s="186" t="str">
        <f t="shared" si="5"/>
        <v/>
      </c>
      <c r="F10" s="187" t="str">
        <f t="shared" si="1"/>
        <v/>
      </c>
      <c r="G10" s="188"/>
      <c r="H10" s="189"/>
      <c r="I10" s="189"/>
      <c r="J10" s="189"/>
      <c r="K10" s="189"/>
      <c r="L10" s="190"/>
      <c r="M10" s="191" t="str">
        <f>LEFT(G10,1)</f>
        <v/>
      </c>
      <c r="N10" s="192" t="str">
        <f>LEFT(H10,1)</f>
        <v/>
      </c>
      <c r="O10" s="192" t="str">
        <f t="shared" si="6"/>
        <v/>
      </c>
      <c r="P10" s="192" t="str">
        <f t="shared" si="7"/>
        <v/>
      </c>
      <c r="Q10" s="192" t="str">
        <f t="shared" si="8"/>
        <v/>
      </c>
      <c r="R10" s="193" t="str">
        <f t="shared" si="9"/>
        <v/>
      </c>
      <c r="S10" s="191" t="str">
        <f>IF(ISERROR(VALUE(RIGHT(G10,1))),"",VALUE(RIGHT(G10,1)))</f>
        <v/>
      </c>
      <c r="T10" s="192" t="str">
        <f>IF(ISERROR(VALUE(RIGHT(H10,1))),"",VALUE(RIGHT(H10,1)))</f>
        <v/>
      </c>
      <c r="U10" s="192" t="str">
        <f>IF(ISERROR(VALUE(RIGHT(I10,1))),"",VALUE(RIGHT(I10,1)))</f>
        <v/>
      </c>
      <c r="V10" s="192" t="str">
        <f>IF(ISERROR(VALUE(RIGHT(J10,1))),"",VALUE(RIGHT(J10,1)))</f>
        <v/>
      </c>
      <c r="W10" s="192" t="str">
        <f>IF(ISERROR(VALUE(RIGHT(K10,1))),"",VALUE(RIGHT(K10,1)))</f>
        <v/>
      </c>
      <c r="X10" s="193"/>
      <c r="Y10" s="194" t="str">
        <f t="shared" si="10"/>
        <v/>
      </c>
      <c r="Z10" s="195" t="str">
        <f t="shared" si="2"/>
        <v/>
      </c>
      <c r="AA10" s="196" t="str">
        <f t="shared" si="3"/>
        <v/>
      </c>
      <c r="AB10" s="197" t="str">
        <f t="shared" si="4"/>
        <v/>
      </c>
      <c r="AC10" s="198" t="str">
        <f t="shared" si="11"/>
        <v/>
      </c>
      <c r="AD10" s="196" t="str">
        <f>IF(B10&gt;0,SUM(X5:X10),"")</f>
        <v/>
      </c>
      <c r="AE10" s="199" t="str">
        <f t="shared" si="12"/>
        <v/>
      </c>
      <c r="AF10" s="199" t="str">
        <f>IF(ISERROR(D10),"",D10)</f>
        <v/>
      </c>
      <c r="AG10" s="208"/>
      <c r="AH10" s="211" t="str">
        <f t="shared" si="14"/>
        <v/>
      </c>
      <c r="AJ10" s="157"/>
      <c r="AK10" s="157"/>
      <c r="AM10" s="200">
        <f>IF(R5="V",IF(M10="D",0,1),IF(R5="D",IF(M10="V",0,1),1))</f>
        <v>1</v>
      </c>
      <c r="AN10" s="201">
        <f>IF(R6="V",IF(N10="D",0,1),IF(R6="D",IF(N10="V",0,1),1))</f>
        <v>1</v>
      </c>
      <c r="AO10" s="201">
        <f>IF(R7="V",IF(O10="D",0,1),IF(R7="D",IF(O10="V",0,1),1))</f>
        <v>1</v>
      </c>
      <c r="AP10" s="201">
        <f>IF(R8="V",IF(P10="D",0,1),IF(R8="D",IF(P10="V",0,1),1))</f>
        <v>1</v>
      </c>
      <c r="AQ10" s="201">
        <f>IF(R9="V",IF(Q10="D",0,1),IF(R9="D",IF(Q10="V",0,1),1))</f>
        <v>1</v>
      </c>
      <c r="AR10" s="202"/>
    </row>
    <row r="11" spans="1:44">
      <c r="A11" s="140">
        <v>2</v>
      </c>
      <c r="B11" s="141">
        <v>2</v>
      </c>
      <c r="C11" s="142">
        <f>IF(F11="","",1)</f>
        <v>1</v>
      </c>
      <c r="D11" s="143">
        <f t="shared" si="0"/>
        <v>1</v>
      </c>
      <c r="E11" s="144" t="str">
        <f t="shared" si="5"/>
        <v>京都フューチャー</v>
      </c>
      <c r="F11" s="145" t="str">
        <f t="shared" si="1"/>
        <v>田中　うの</v>
      </c>
      <c r="G11" s="146"/>
      <c r="H11" s="147" t="s">
        <v>108</v>
      </c>
      <c r="I11" s="147" t="s">
        <v>108</v>
      </c>
      <c r="J11" s="147" t="s">
        <v>108</v>
      </c>
      <c r="K11" s="147"/>
      <c r="L11" s="148"/>
      <c r="M11" s="149"/>
      <c r="N11" s="150" t="str">
        <f>LEFT(H11,1)</f>
        <v>v</v>
      </c>
      <c r="O11" s="150" t="str">
        <f t="shared" si="6"/>
        <v>v</v>
      </c>
      <c r="P11" s="150" t="str">
        <f t="shared" si="7"/>
        <v>v</v>
      </c>
      <c r="Q11" s="150" t="str">
        <f t="shared" si="8"/>
        <v/>
      </c>
      <c r="R11" s="151" t="str">
        <f t="shared" si="9"/>
        <v/>
      </c>
      <c r="S11" s="149"/>
      <c r="T11" s="150">
        <f>IF(ISERROR(VALUE(RIGHT(H11,1))),"",VALUE(RIGHT(H11,1)))</f>
        <v>5</v>
      </c>
      <c r="U11" s="150">
        <f>IF(ISERROR(VALUE(RIGHT(I11,1))),"",VALUE(RIGHT(I11,1)))</f>
        <v>5</v>
      </c>
      <c r="V11" s="150">
        <f>IF(ISERROR(VALUE(RIGHT(J11,1))),"",VALUE(RIGHT(J11,1)))</f>
        <v>5</v>
      </c>
      <c r="W11" s="150" t="str">
        <f>IF(ISERROR(VALUE(RIGHT(K11,1))),"",VALUE(RIGHT(K11,1)))</f>
        <v/>
      </c>
      <c r="X11" s="151" t="str">
        <f>IF(ISERROR(VALUE(RIGHT(L11,1))),"",VALUE(RIGHT(L11,1)))</f>
        <v/>
      </c>
      <c r="Y11" s="152">
        <f>D11</f>
        <v>1</v>
      </c>
      <c r="Z11" s="153">
        <f t="shared" si="2"/>
        <v>3</v>
      </c>
      <c r="AA11" s="154">
        <f t="shared" si="3"/>
        <v>3</v>
      </c>
      <c r="AB11" s="155">
        <f t="shared" si="4"/>
        <v>1</v>
      </c>
      <c r="AC11" s="156">
        <f t="shared" si="11"/>
        <v>15</v>
      </c>
      <c r="AD11" s="154">
        <f>IF(B11&gt;0,SUM(S11:S16),"")</f>
        <v>1</v>
      </c>
      <c r="AE11" s="143">
        <f t="shared" si="12"/>
        <v>14</v>
      </c>
      <c r="AF11" s="143">
        <f>IF(ISERROR(D11),"",D11)</f>
        <v>1</v>
      </c>
      <c r="AG11" s="206"/>
      <c r="AH11" s="209">
        <f t="shared" si="14"/>
        <v>101415148</v>
      </c>
      <c r="AM11" s="158"/>
      <c r="AN11" s="159">
        <f>IF(N11="V",IF(M12="D",0,1),IF(N11="D",IF(M12="V",0,1),1))</f>
        <v>1</v>
      </c>
      <c r="AO11" s="159">
        <f>IF(O11="V",IF(M13="D",0,1),IF(O11="D",IF(M13="V",0,1),1))</f>
        <v>1</v>
      </c>
      <c r="AP11" s="159">
        <f>IF(P11="V",IF(M14="D",0,1),IF(P11="D",IF(M14="V",0,1),1))</f>
        <v>1</v>
      </c>
      <c r="AQ11" s="159">
        <f>IF(Q11="V",IF(M15="D",0,1),IF(Q11="D",IF(M15="V",0,1),1))</f>
        <v>1</v>
      </c>
      <c r="AR11" s="160">
        <f>IF(R11="V",IF(M16="D",0,1),IF(R11="D",IF(M16="V",0,1),1))</f>
        <v>1</v>
      </c>
    </row>
    <row r="12" spans="1:44">
      <c r="A12" s="161">
        <f>IF(B12="","",2)</f>
        <v>2</v>
      </c>
      <c r="B12" s="162">
        <v>8</v>
      </c>
      <c r="C12" s="163">
        <f>IF(F12="","",2)</f>
        <v>2</v>
      </c>
      <c r="D12" s="164">
        <f t="shared" si="0"/>
        <v>15</v>
      </c>
      <c r="E12" s="165" t="str">
        <f t="shared" si="5"/>
        <v>武生ＪＦＣ</v>
      </c>
      <c r="F12" s="166" t="str">
        <f t="shared" si="1"/>
        <v>矢部　結愛</v>
      </c>
      <c r="G12" s="167">
        <v>0</v>
      </c>
      <c r="H12" s="168"/>
      <c r="I12" s="169">
        <v>1</v>
      </c>
      <c r="J12" s="169">
        <v>1</v>
      </c>
      <c r="K12" s="169"/>
      <c r="L12" s="170"/>
      <c r="M12" s="171" t="str">
        <f>LEFT(G12,1)</f>
        <v>0</v>
      </c>
      <c r="N12" s="172"/>
      <c r="O12" s="172" t="str">
        <f>LEFT(I12,1)</f>
        <v>1</v>
      </c>
      <c r="P12" s="172" t="str">
        <f>LEFT(J12,1)</f>
        <v>1</v>
      </c>
      <c r="Q12" s="172" t="str">
        <f>LEFT(K12,1)</f>
        <v/>
      </c>
      <c r="R12" s="173" t="str">
        <f t="shared" ref="R12:R28" si="15">LEFT(L12,1)</f>
        <v/>
      </c>
      <c r="S12" s="171">
        <f>IF(ISERROR(VALUE(RIGHT(G12,1))),"",VALUE(RIGHT(G12,1)))</f>
        <v>0</v>
      </c>
      <c r="T12" s="172"/>
      <c r="U12" s="172">
        <f>IF(ISERROR(VALUE(RIGHT(I12,1))),"",VALUE(RIGHT(I12,1)))</f>
        <v>1</v>
      </c>
      <c r="V12" s="172">
        <f>IF(ISERROR(VALUE(RIGHT(J12,1))),"",VALUE(RIGHT(J12,1)))</f>
        <v>1</v>
      </c>
      <c r="W12" s="172" t="str">
        <f>IF(ISERROR(VALUE(RIGHT(K12,1))),"",VALUE(RIGHT(K12,1)))</f>
        <v/>
      </c>
      <c r="X12" s="173" t="str">
        <f>IF(ISERROR(VALUE(RIGHT(L12,1))),"",VALUE(RIGHT(L12,1)))</f>
        <v/>
      </c>
      <c r="Y12" s="174">
        <f t="shared" si="10"/>
        <v>15</v>
      </c>
      <c r="Z12" s="175">
        <f t="shared" si="2"/>
        <v>3</v>
      </c>
      <c r="AA12" s="176">
        <f t="shared" si="3"/>
        <v>0</v>
      </c>
      <c r="AB12" s="177">
        <f t="shared" si="4"/>
        <v>0</v>
      </c>
      <c r="AC12" s="178">
        <f t="shared" si="11"/>
        <v>2</v>
      </c>
      <c r="AD12" s="176">
        <f>IF(B12&gt;0,SUM(T11:T16),"")</f>
        <v>15</v>
      </c>
      <c r="AE12" s="164">
        <f t="shared" si="12"/>
        <v>-13</v>
      </c>
      <c r="AF12" s="164">
        <f t="shared" si="13"/>
        <v>15</v>
      </c>
      <c r="AG12" s="207"/>
      <c r="AH12" s="210">
        <f t="shared" si="14"/>
        <v>-1297988</v>
      </c>
      <c r="AM12" s="179">
        <f>IF(N11="V",IF(M12="D",0,1),IF(N11="D",IF(M12="V",0,1),1))</f>
        <v>1</v>
      </c>
      <c r="AN12" s="180"/>
      <c r="AO12" s="180">
        <f>IF(O12="V",IF(N13="D",0,1),IF(O12="D",IF(N13="V",0,1),1))</f>
        <v>1</v>
      </c>
      <c r="AP12" s="180">
        <f>IF(P12="V",IF(N14="D",0,1),IF(P12="D",IF(N14="V",0,1),1))</f>
        <v>1</v>
      </c>
      <c r="AQ12" s="180">
        <f>IF(Q12="V",IF(N15="D",0,1),IF(Q12="D",IF(N15="V",0,1),1))</f>
        <v>1</v>
      </c>
      <c r="AR12" s="181">
        <f>IF(R12="V",IF(N16="D",0,1),IF(R12="D",IF(N16="V",0,1),1))</f>
        <v>1</v>
      </c>
    </row>
    <row r="13" spans="1:44">
      <c r="A13" s="161">
        <f>IF(B13="","",2)</f>
        <v>2</v>
      </c>
      <c r="B13" s="162">
        <v>10</v>
      </c>
      <c r="C13" s="163">
        <f>IF(F13="","",3)</f>
        <v>3</v>
      </c>
      <c r="D13" s="164">
        <f t="shared" si="0"/>
        <v>8</v>
      </c>
      <c r="E13" s="165" t="str">
        <f t="shared" si="5"/>
        <v>養老ＦＣ</v>
      </c>
      <c r="F13" s="166" t="str">
        <f t="shared" si="1"/>
        <v>伊東　愛苺</v>
      </c>
      <c r="G13" s="167">
        <v>0</v>
      </c>
      <c r="H13" s="169" t="s">
        <v>108</v>
      </c>
      <c r="I13" s="168"/>
      <c r="J13" s="169" t="s">
        <v>108</v>
      </c>
      <c r="K13" s="169"/>
      <c r="L13" s="170"/>
      <c r="M13" s="171" t="str">
        <f>LEFT(G13,1)</f>
        <v>0</v>
      </c>
      <c r="N13" s="172" t="str">
        <f>LEFT(H13,1)</f>
        <v>v</v>
      </c>
      <c r="O13" s="172"/>
      <c r="P13" s="172" t="str">
        <f>LEFT(J13,1)</f>
        <v>v</v>
      </c>
      <c r="Q13" s="172" t="str">
        <f>LEFT(K13,1)</f>
        <v/>
      </c>
      <c r="R13" s="173" t="str">
        <f t="shared" si="15"/>
        <v/>
      </c>
      <c r="S13" s="171">
        <f>IF(ISERROR(VALUE(RIGHT(G13,1))),"",VALUE(RIGHT(G13,1)))</f>
        <v>0</v>
      </c>
      <c r="T13" s="172">
        <f>IF(ISERROR(VALUE(RIGHT(H13,1))),"",VALUE(RIGHT(H13,1)))</f>
        <v>5</v>
      </c>
      <c r="U13" s="172"/>
      <c r="V13" s="172">
        <f>IF(ISERROR(VALUE(RIGHT(J13,1))),"",VALUE(RIGHT(J13,1)))</f>
        <v>5</v>
      </c>
      <c r="W13" s="172" t="str">
        <f>IF(ISERROR(VALUE(RIGHT(K13,1))),"",VALUE(RIGHT(K13,1)))</f>
        <v/>
      </c>
      <c r="X13" s="173" t="str">
        <f>IF(ISERROR(VALUE(RIGHT(L13,1))),"",VALUE(RIGHT(L13,1)))</f>
        <v/>
      </c>
      <c r="Y13" s="174">
        <f t="shared" si="10"/>
        <v>8</v>
      </c>
      <c r="Z13" s="175">
        <f t="shared" si="2"/>
        <v>3</v>
      </c>
      <c r="AA13" s="176">
        <f t="shared" si="3"/>
        <v>2</v>
      </c>
      <c r="AB13" s="177">
        <f t="shared" si="4"/>
        <v>0.66700000000000004</v>
      </c>
      <c r="AC13" s="178">
        <f t="shared" si="11"/>
        <v>10</v>
      </c>
      <c r="AD13" s="176">
        <f>IF(B13&gt;0,SUM(U11:U16),"")</f>
        <v>10</v>
      </c>
      <c r="AE13" s="164">
        <f t="shared" si="12"/>
        <v>0</v>
      </c>
      <c r="AF13" s="164">
        <f t="shared" si="13"/>
        <v>8</v>
      </c>
      <c r="AG13" s="207"/>
      <c r="AH13" s="210">
        <f t="shared" si="14"/>
        <v>66710090.000000007</v>
      </c>
      <c r="AM13" s="179">
        <f>IF(O11="V",IF(M13="D",0,1),IF(O11="D",IF(M13="V",0,1),1))</f>
        <v>1</v>
      </c>
      <c r="AN13" s="180">
        <f>IF(O12="V",IF(N13="D",0,1),IF(O12="D",IF(N13="V",0,1),1))</f>
        <v>1</v>
      </c>
      <c r="AO13" s="180"/>
      <c r="AP13" s="180">
        <f>IF(P13="V",IF(O14="D",0,1),IF(P13="D",IF(O14="V",0,1),1))</f>
        <v>1</v>
      </c>
      <c r="AQ13" s="180">
        <f>IF(Q13="V",IF(O15="D",0,1),IF(Q13="D",IF(O15="V",0,1),1))</f>
        <v>1</v>
      </c>
      <c r="AR13" s="181">
        <f>IF(R13="V",IF(O16="D",0,1),IF(R13="D",IF(O16="V",0,1),1))</f>
        <v>1</v>
      </c>
    </row>
    <row r="14" spans="1:44">
      <c r="A14" s="161">
        <f>IF(B14="","",2)</f>
        <v>2</v>
      </c>
      <c r="B14" s="162">
        <v>15</v>
      </c>
      <c r="C14" s="163">
        <f>IF(F14="","",4)</f>
        <v>4</v>
      </c>
      <c r="D14" s="164">
        <f t="shared" si="0"/>
        <v>9</v>
      </c>
      <c r="E14" s="165" t="str">
        <f t="shared" si="5"/>
        <v>はしまモア</v>
      </c>
      <c r="F14" s="166" t="str">
        <f t="shared" si="1"/>
        <v>山田　椛暖</v>
      </c>
      <c r="G14" s="167">
        <v>1</v>
      </c>
      <c r="H14" s="169" t="s">
        <v>108</v>
      </c>
      <c r="I14" s="169">
        <v>4</v>
      </c>
      <c r="J14" s="168"/>
      <c r="K14" s="169"/>
      <c r="L14" s="170"/>
      <c r="M14" s="171" t="str">
        <f>LEFT(G14,1)</f>
        <v>1</v>
      </c>
      <c r="N14" s="172" t="str">
        <f>LEFT(H14,1)</f>
        <v>v</v>
      </c>
      <c r="O14" s="172" t="str">
        <f>LEFT(I14,1)</f>
        <v>4</v>
      </c>
      <c r="P14" s="172"/>
      <c r="Q14" s="172" t="str">
        <f>LEFT(K14,1)</f>
        <v/>
      </c>
      <c r="R14" s="173" t="str">
        <f t="shared" si="15"/>
        <v/>
      </c>
      <c r="S14" s="171">
        <f>IF(ISERROR(VALUE(RIGHT(G14,1))),"",VALUE(RIGHT(G14,1)))</f>
        <v>1</v>
      </c>
      <c r="T14" s="172">
        <f>IF(ISERROR(VALUE(RIGHT(H14,1))),"",VALUE(RIGHT(H14,1)))</f>
        <v>5</v>
      </c>
      <c r="U14" s="172">
        <f>IF(ISERROR(VALUE(RIGHT(I14,1))),"",VALUE(RIGHT(I14,1)))</f>
        <v>4</v>
      </c>
      <c r="V14" s="172"/>
      <c r="W14" s="172" t="str">
        <f>IF(ISERROR(VALUE(RIGHT(K14,1))),"",VALUE(RIGHT(K14,1)))</f>
        <v/>
      </c>
      <c r="X14" s="173" t="str">
        <f>IF(ISERROR(VALUE(RIGHT(L14,1))),"",VALUE(RIGHT(L14,1)))</f>
        <v/>
      </c>
      <c r="Y14" s="174">
        <f t="shared" si="10"/>
        <v>9</v>
      </c>
      <c r="Z14" s="175">
        <f t="shared" si="2"/>
        <v>3</v>
      </c>
      <c r="AA14" s="176">
        <f t="shared" si="3"/>
        <v>1</v>
      </c>
      <c r="AB14" s="177">
        <f t="shared" si="4"/>
        <v>0.33300000000000002</v>
      </c>
      <c r="AC14" s="178">
        <f t="shared" si="11"/>
        <v>10</v>
      </c>
      <c r="AD14" s="176">
        <f>IF(B14&gt;0,SUM(V11:V16),"")</f>
        <v>11</v>
      </c>
      <c r="AE14" s="164">
        <f t="shared" si="12"/>
        <v>-1</v>
      </c>
      <c r="AF14" s="164">
        <f t="shared" si="13"/>
        <v>9</v>
      </c>
      <c r="AG14" s="207"/>
      <c r="AH14" s="210">
        <f t="shared" si="14"/>
        <v>33210085</v>
      </c>
      <c r="AM14" s="179">
        <f>IF(P11="V",IF(M14="D",0,1),IF(P11="D",IF(M14="V",0,1),1))</f>
        <v>1</v>
      </c>
      <c r="AN14" s="180">
        <f>IF(P12="V",IF(N14="D",0,1),IF(P12="D",IF(N14="V",0,1),1))</f>
        <v>1</v>
      </c>
      <c r="AO14" s="180">
        <f>IF(P13="V",IF(O14="D",0,1),IF(P13="D",IF(O14="V",0,1),1))</f>
        <v>1</v>
      </c>
      <c r="AP14" s="180"/>
      <c r="AQ14" s="180">
        <f>IF(Q14="V",IF(P15="D",0,1),IF(Q14="D",IF(P15="V",0,1),1))</f>
        <v>1</v>
      </c>
      <c r="AR14" s="181">
        <f>IF(R14="V",IF(P16="D",0,1),IF(R14="D",IF(P16="V",0,1),1))</f>
        <v>1</v>
      </c>
    </row>
    <row r="15" spans="1:44">
      <c r="A15" s="161" t="str">
        <f>IF(B15="","",2)</f>
        <v/>
      </c>
      <c r="B15" s="162"/>
      <c r="C15" s="163" t="str">
        <f>IF(F15="","",5)</f>
        <v/>
      </c>
      <c r="D15" s="164" t="str">
        <f t="shared" si="0"/>
        <v/>
      </c>
      <c r="E15" s="165" t="str">
        <f t="shared" si="5"/>
        <v/>
      </c>
      <c r="F15" s="166" t="str">
        <f t="shared" si="1"/>
        <v/>
      </c>
      <c r="G15" s="167"/>
      <c r="H15" s="169"/>
      <c r="I15" s="169"/>
      <c r="J15" s="169"/>
      <c r="K15" s="168"/>
      <c r="L15" s="170"/>
      <c r="M15" s="171" t="str">
        <f>LEFT(G15,1)</f>
        <v/>
      </c>
      <c r="N15" s="172" t="str">
        <f>LEFT(H15,1)</f>
        <v/>
      </c>
      <c r="O15" s="172" t="str">
        <f>LEFT(I15,1)</f>
        <v/>
      </c>
      <c r="P15" s="172" t="str">
        <f>LEFT(J15,1)</f>
        <v/>
      </c>
      <c r="Q15" s="172"/>
      <c r="R15" s="173" t="str">
        <f t="shared" si="15"/>
        <v/>
      </c>
      <c r="S15" s="171" t="str">
        <f>IF(ISERROR(VALUE(RIGHT(G15,1))),"",VALUE(RIGHT(G15,1)))</f>
        <v/>
      </c>
      <c r="T15" s="172" t="str">
        <f>IF(ISERROR(VALUE(RIGHT(H15,1))),"",VALUE(RIGHT(H15,1)))</f>
        <v/>
      </c>
      <c r="U15" s="172" t="str">
        <f>IF(ISERROR(VALUE(RIGHT(I15,1))),"",VALUE(RIGHT(I15,1)))</f>
        <v/>
      </c>
      <c r="V15" s="172" t="str">
        <f>IF(ISERROR(VALUE(RIGHT(J15,1))),"",VALUE(RIGHT(J15,1)))</f>
        <v/>
      </c>
      <c r="W15" s="172"/>
      <c r="X15" s="173" t="str">
        <f>IF(ISERROR(VALUE(RIGHT(L15,1))),"",VALUE(RIGHT(L15,1)))</f>
        <v/>
      </c>
      <c r="Y15" s="174" t="str">
        <f t="shared" si="10"/>
        <v/>
      </c>
      <c r="Z15" s="175" t="str">
        <f t="shared" si="2"/>
        <v/>
      </c>
      <c r="AA15" s="176" t="str">
        <f t="shared" si="3"/>
        <v/>
      </c>
      <c r="AB15" s="177" t="str">
        <f t="shared" si="4"/>
        <v/>
      </c>
      <c r="AC15" s="178" t="str">
        <f t="shared" si="11"/>
        <v/>
      </c>
      <c r="AD15" s="176" t="str">
        <f>IF(B15&gt;0,SUM(W11:W16),"")</f>
        <v/>
      </c>
      <c r="AE15" s="164" t="str">
        <f t="shared" si="12"/>
        <v/>
      </c>
      <c r="AF15" s="164" t="str">
        <f t="shared" si="13"/>
        <v/>
      </c>
      <c r="AG15" s="207"/>
      <c r="AH15" s="210" t="str">
        <f t="shared" si="14"/>
        <v/>
      </c>
      <c r="AM15" s="179">
        <f>IF(Q11="V",IF(M15="D",0,1),IF(Q11="D",IF(M15="V",0,1),1))</f>
        <v>1</v>
      </c>
      <c r="AN15" s="180">
        <f>IF(Q12="V",IF(N15="D",0,1),IF(Q12="D",IF(N15="V",0,1),1))</f>
        <v>1</v>
      </c>
      <c r="AO15" s="180">
        <f>IF(Q13="V",IF(O15="D",0,1),IF(Q13="D",IF(O15="V",0,1),1))</f>
        <v>1</v>
      </c>
      <c r="AP15" s="180">
        <f>IF(Q14="V",IF(P15="D",0,1),IF(Q14="D",IF(P15="V",0,1),1))</f>
        <v>1</v>
      </c>
      <c r="AQ15" s="180"/>
      <c r="AR15" s="181">
        <f>IF(R15="V",IF(Q16="D",0,1),IF(R15="D",IF(Q16="V",0,1),1))</f>
        <v>1</v>
      </c>
    </row>
    <row r="16" spans="1:44">
      <c r="A16" s="182" t="str">
        <f>IF(B16="","",2)</f>
        <v/>
      </c>
      <c r="B16" s="183"/>
      <c r="C16" s="184" t="str">
        <f>IF(F16="","",6)</f>
        <v/>
      </c>
      <c r="D16" s="185" t="str">
        <f t="shared" si="0"/>
        <v/>
      </c>
      <c r="E16" s="186" t="str">
        <f t="shared" si="5"/>
        <v/>
      </c>
      <c r="F16" s="187" t="str">
        <f t="shared" si="1"/>
        <v/>
      </c>
      <c r="G16" s="188"/>
      <c r="H16" s="189"/>
      <c r="I16" s="189"/>
      <c r="J16" s="189"/>
      <c r="K16" s="189"/>
      <c r="L16" s="190"/>
      <c r="M16" s="191" t="str">
        <f>LEFT(G16,1)</f>
        <v/>
      </c>
      <c r="N16" s="192" t="str">
        <f>LEFT(H16,1)</f>
        <v/>
      </c>
      <c r="O16" s="192" t="str">
        <f>LEFT(I16,1)</f>
        <v/>
      </c>
      <c r="P16" s="192" t="str">
        <f>LEFT(J16,1)</f>
        <v/>
      </c>
      <c r="Q16" s="192" t="str">
        <f>LEFT(K16,1)</f>
        <v/>
      </c>
      <c r="R16" s="193" t="str">
        <f t="shared" si="15"/>
        <v/>
      </c>
      <c r="S16" s="191" t="str">
        <f>IF(ISERROR(VALUE(RIGHT(G16,1))),"",VALUE(RIGHT(G16,1)))</f>
        <v/>
      </c>
      <c r="T16" s="192" t="str">
        <f>IF(ISERROR(VALUE(RIGHT(H16,1))),"",VALUE(RIGHT(H16,1)))</f>
        <v/>
      </c>
      <c r="U16" s="192" t="str">
        <f>IF(ISERROR(VALUE(RIGHT(I16,1))),"",VALUE(RIGHT(I16,1)))</f>
        <v/>
      </c>
      <c r="V16" s="192" t="str">
        <f>IF(ISERROR(VALUE(RIGHT(J16,1))),"",VALUE(RIGHT(J16,1)))</f>
        <v/>
      </c>
      <c r="W16" s="192" t="str">
        <f>IF(ISERROR(VALUE(RIGHT(K16,1))),"",VALUE(RIGHT(K16,1)))</f>
        <v/>
      </c>
      <c r="X16" s="193"/>
      <c r="Y16" s="194" t="str">
        <f t="shared" si="10"/>
        <v/>
      </c>
      <c r="Z16" s="195" t="str">
        <f t="shared" si="2"/>
        <v/>
      </c>
      <c r="AA16" s="196" t="str">
        <f t="shared" si="3"/>
        <v/>
      </c>
      <c r="AB16" s="197" t="str">
        <f t="shared" si="4"/>
        <v/>
      </c>
      <c r="AC16" s="198" t="str">
        <f t="shared" si="11"/>
        <v/>
      </c>
      <c r="AD16" s="196" t="str">
        <f>IF(B16&gt;0,SUM(X11:X16),"")</f>
        <v/>
      </c>
      <c r="AE16" s="199" t="str">
        <f t="shared" si="12"/>
        <v/>
      </c>
      <c r="AF16" s="199" t="str">
        <f>IF(ISERROR(D16),"",D16)</f>
        <v/>
      </c>
      <c r="AG16" s="208"/>
      <c r="AH16" s="211" t="str">
        <f t="shared" si="14"/>
        <v/>
      </c>
      <c r="AM16" s="200">
        <f>IF(R11="V",IF(M16="D",0,1),IF(R11="D",IF(M16="V",0,1),1))</f>
        <v>1</v>
      </c>
      <c r="AN16" s="201">
        <f>IF(R12="V",IF(N16="D",0,1),IF(R12="D",IF(N16="V",0,1),1))</f>
        <v>1</v>
      </c>
      <c r="AO16" s="201">
        <f>IF(R13="V",IF(O16="D",0,1),IF(R13="D",IF(O16="V",0,1),1))</f>
        <v>1</v>
      </c>
      <c r="AP16" s="201">
        <f>IF(R14="V",IF(P16="D",0,1),IF(R14="D",IF(P16="V",0,1),1))</f>
        <v>1</v>
      </c>
      <c r="AQ16" s="201">
        <f>IF(R15="V",IF(Q16="D",0,1),IF(R15="D",IF(Q16="V",0,1),1))</f>
        <v>1</v>
      </c>
      <c r="AR16" s="202"/>
    </row>
    <row r="17" spans="1:44">
      <c r="A17" s="140">
        <v>3</v>
      </c>
      <c r="B17" s="141">
        <v>3</v>
      </c>
      <c r="C17" s="142">
        <f>IF(F17="","",1)</f>
        <v>1</v>
      </c>
      <c r="D17" s="143">
        <f t="shared" si="0"/>
        <v>2</v>
      </c>
      <c r="E17" s="144" t="str">
        <f t="shared" si="5"/>
        <v>京都フューチャー</v>
      </c>
      <c r="F17" s="145" t="str">
        <f t="shared" si="1"/>
        <v>熊本　詩乃</v>
      </c>
      <c r="G17" s="146"/>
      <c r="H17" s="147" t="s">
        <v>108</v>
      </c>
      <c r="I17" s="147" t="s">
        <v>108</v>
      </c>
      <c r="J17" s="147" t="s">
        <v>108</v>
      </c>
      <c r="K17" s="147"/>
      <c r="L17" s="148"/>
      <c r="M17" s="149"/>
      <c r="N17" s="150" t="str">
        <f>LEFT(H17,1)</f>
        <v>v</v>
      </c>
      <c r="O17" s="150" t="str">
        <f>LEFT(I17,1)</f>
        <v>v</v>
      </c>
      <c r="P17" s="150" t="str">
        <f>LEFT(J17,1)</f>
        <v>v</v>
      </c>
      <c r="Q17" s="150" t="str">
        <f>LEFT(K17,1)</f>
        <v/>
      </c>
      <c r="R17" s="151" t="str">
        <f t="shared" si="15"/>
        <v/>
      </c>
      <c r="S17" s="149"/>
      <c r="T17" s="150">
        <f>IF(ISERROR(VALUE(RIGHT(H17,1))),"",VALUE(RIGHT(H17,1)))</f>
        <v>5</v>
      </c>
      <c r="U17" s="150">
        <f>IF(ISERROR(VALUE(RIGHT(I17,1))),"",VALUE(RIGHT(I17,1)))</f>
        <v>5</v>
      </c>
      <c r="V17" s="150">
        <f>IF(ISERROR(VALUE(RIGHT(J17,1))),"",VALUE(RIGHT(J17,1)))</f>
        <v>5</v>
      </c>
      <c r="W17" s="150" t="str">
        <f>IF(ISERROR(VALUE(RIGHT(K17,1))),"",VALUE(RIGHT(K17,1)))</f>
        <v/>
      </c>
      <c r="X17" s="151" t="str">
        <f>IF(ISERROR(VALUE(RIGHT(L17,1))),"",VALUE(RIGHT(L17,1)))</f>
        <v/>
      </c>
      <c r="Y17" s="152">
        <f t="shared" si="10"/>
        <v>2</v>
      </c>
      <c r="Z17" s="153">
        <f t="shared" si="2"/>
        <v>3</v>
      </c>
      <c r="AA17" s="154">
        <f t="shared" si="3"/>
        <v>3</v>
      </c>
      <c r="AB17" s="155">
        <f t="shared" si="4"/>
        <v>1</v>
      </c>
      <c r="AC17" s="156">
        <f t="shared" si="11"/>
        <v>15</v>
      </c>
      <c r="AD17" s="154">
        <f>IF(B17&gt;0,SUM(S17:S22),"")</f>
        <v>3</v>
      </c>
      <c r="AE17" s="143">
        <f t="shared" si="12"/>
        <v>12</v>
      </c>
      <c r="AF17" s="143">
        <f>IF(ISERROR(D17),"",D17)</f>
        <v>2</v>
      </c>
      <c r="AG17" s="206"/>
      <c r="AH17" s="209">
        <f t="shared" si="14"/>
        <v>101215147</v>
      </c>
      <c r="AM17" s="158"/>
      <c r="AN17" s="159">
        <f>IF(N17="V",IF(M18="D",0,1),IF(N17="D",IF(M18="V",0,1),1))</f>
        <v>1</v>
      </c>
      <c r="AO17" s="159">
        <f>IF(O17="V",IF(M19="D",0,1),IF(O17="D",IF(M19="V",0,1),1))</f>
        <v>1</v>
      </c>
      <c r="AP17" s="159">
        <f>IF(P17="V",IF(M20="D",0,1),IF(P17="D",IF(M20="V",0,1),1))</f>
        <v>1</v>
      </c>
      <c r="AQ17" s="159">
        <f>IF(Q17="V",IF(M21="D",0,1),IF(Q17="D",IF(M21="V",0,1),1))</f>
        <v>1</v>
      </c>
      <c r="AR17" s="160">
        <f>IF(R17="V",IF(M22="D",0,1),IF(R17="D",IF(M22="V",0,1),1))</f>
        <v>1</v>
      </c>
    </row>
    <row r="18" spans="1:44">
      <c r="A18" s="161">
        <f>IF(B18="","",3)</f>
        <v>3</v>
      </c>
      <c r="B18" s="162">
        <v>6</v>
      </c>
      <c r="C18" s="163">
        <f>IF(F18="","",2)</f>
        <v>2</v>
      </c>
      <c r="D18" s="164">
        <f t="shared" si="0"/>
        <v>14</v>
      </c>
      <c r="E18" s="165" t="str">
        <f t="shared" si="5"/>
        <v>長野ジュニア</v>
      </c>
      <c r="F18" s="166" t="str">
        <f t="shared" si="1"/>
        <v>原　悠莉</v>
      </c>
      <c r="G18" s="167">
        <v>1</v>
      </c>
      <c r="H18" s="168"/>
      <c r="I18" s="169">
        <v>2</v>
      </c>
      <c r="J18" s="169">
        <v>0</v>
      </c>
      <c r="K18" s="169"/>
      <c r="L18" s="170"/>
      <c r="M18" s="171" t="str">
        <f>LEFT(G18,1)</f>
        <v>1</v>
      </c>
      <c r="N18" s="172"/>
      <c r="O18" s="172" t="str">
        <f>LEFT(I18,1)</f>
        <v>2</v>
      </c>
      <c r="P18" s="172" t="str">
        <f>LEFT(J18,1)</f>
        <v>0</v>
      </c>
      <c r="Q18" s="172" t="str">
        <f>LEFT(K18,1)</f>
        <v/>
      </c>
      <c r="R18" s="173" t="str">
        <f t="shared" si="15"/>
        <v/>
      </c>
      <c r="S18" s="171">
        <f>IF(ISERROR(VALUE(RIGHT(G18,1))),"",VALUE(RIGHT(G18,1)))</f>
        <v>1</v>
      </c>
      <c r="T18" s="172"/>
      <c r="U18" s="172">
        <f>IF(ISERROR(VALUE(RIGHT(I18,1))),"",VALUE(RIGHT(I18,1)))</f>
        <v>2</v>
      </c>
      <c r="V18" s="172">
        <f>IF(ISERROR(VALUE(RIGHT(J18,1))),"",VALUE(RIGHT(J18,1)))</f>
        <v>0</v>
      </c>
      <c r="W18" s="172" t="str">
        <f>IF(ISERROR(VALUE(RIGHT(K18,1))),"",VALUE(RIGHT(K18,1)))</f>
        <v/>
      </c>
      <c r="X18" s="173" t="str">
        <f>IF(ISERROR(VALUE(RIGHT(L18,1))),"",VALUE(RIGHT(L18,1)))</f>
        <v/>
      </c>
      <c r="Y18" s="174">
        <f t="shared" si="10"/>
        <v>14</v>
      </c>
      <c r="Z18" s="175">
        <f t="shared" si="2"/>
        <v>3</v>
      </c>
      <c r="AA18" s="176">
        <f t="shared" si="3"/>
        <v>0</v>
      </c>
      <c r="AB18" s="177">
        <f t="shared" si="4"/>
        <v>0</v>
      </c>
      <c r="AC18" s="178">
        <f t="shared" si="11"/>
        <v>3</v>
      </c>
      <c r="AD18" s="176">
        <f>IF(B18&gt;0,SUM(T17:T22),"")</f>
        <v>15</v>
      </c>
      <c r="AE18" s="164">
        <f t="shared" si="12"/>
        <v>-12</v>
      </c>
      <c r="AF18" s="164">
        <f t="shared" ref="AF18:AF21" si="16">IF(ISERROR(D18),"",D18)</f>
        <v>14</v>
      </c>
      <c r="AG18" s="207"/>
      <c r="AH18" s="210">
        <f t="shared" si="14"/>
        <v>-1196976</v>
      </c>
      <c r="AM18" s="179">
        <f>IF(N17="V",IF(M18="D",0,1),IF(N17="D",IF(M18="V",0,1),1))</f>
        <v>1</v>
      </c>
      <c r="AN18" s="180"/>
      <c r="AO18" s="180">
        <f>IF(O18="V",IF(N19="D",0,1),IF(O18="D",IF(N19="V",0,1),1))</f>
        <v>1</v>
      </c>
      <c r="AP18" s="180">
        <f>IF(P18="V",IF(N20="D",0,1),IF(P18="D",IF(N20="V",0,1),1))</f>
        <v>1</v>
      </c>
      <c r="AQ18" s="180">
        <f>IF(Q18="V",IF(N21="D",0,1),IF(Q18="D",IF(N21="V",0,1),1))</f>
        <v>1</v>
      </c>
      <c r="AR18" s="181">
        <f>IF(R18="V",IF(N22="D",0,1),IF(R18="D",IF(N22="V",0,1),1))</f>
        <v>1</v>
      </c>
    </row>
    <row r="19" spans="1:44">
      <c r="A19" s="161">
        <f>IF(B19="","",3)</f>
        <v>3</v>
      </c>
      <c r="B19" s="162">
        <v>11</v>
      </c>
      <c r="C19" s="163">
        <f>IF(F19="","",3)</f>
        <v>3</v>
      </c>
      <c r="D19" s="164">
        <f t="shared" si="0"/>
        <v>7</v>
      </c>
      <c r="E19" s="165" t="str">
        <f t="shared" si="5"/>
        <v>養老ＦＣ</v>
      </c>
      <c r="F19" s="166" t="str">
        <f t="shared" si="1"/>
        <v>三輪　楓華</v>
      </c>
      <c r="G19" s="167">
        <v>0</v>
      </c>
      <c r="H19" s="169" t="s">
        <v>108</v>
      </c>
      <c r="I19" s="168"/>
      <c r="J19" s="169" t="s">
        <v>110</v>
      </c>
      <c r="K19" s="169"/>
      <c r="L19" s="170"/>
      <c r="M19" s="171" t="str">
        <f>LEFT(G19,1)</f>
        <v>0</v>
      </c>
      <c r="N19" s="172" t="str">
        <f>LEFT(H19,1)</f>
        <v>v</v>
      </c>
      <c r="O19" s="172"/>
      <c r="P19" s="172" t="str">
        <f>LEFT(J19,1)</f>
        <v>v</v>
      </c>
      <c r="Q19" s="172" t="str">
        <f>LEFT(K19,1)</f>
        <v/>
      </c>
      <c r="R19" s="173" t="str">
        <f t="shared" si="15"/>
        <v/>
      </c>
      <c r="S19" s="171">
        <f>IF(ISERROR(VALUE(RIGHT(G19,1))),"",VALUE(RIGHT(G19,1)))</f>
        <v>0</v>
      </c>
      <c r="T19" s="172">
        <f>IF(ISERROR(VALUE(RIGHT(H19,1))),"",VALUE(RIGHT(H19,1)))</f>
        <v>5</v>
      </c>
      <c r="U19" s="172"/>
      <c r="V19" s="172">
        <f>IF(ISERROR(VALUE(RIGHT(J19,1))),"",VALUE(RIGHT(J19,1)))</f>
        <v>5</v>
      </c>
      <c r="W19" s="172" t="str">
        <f>IF(ISERROR(VALUE(RIGHT(K19,1))),"",VALUE(RIGHT(K19,1)))</f>
        <v/>
      </c>
      <c r="X19" s="173" t="str">
        <f>IF(ISERROR(VALUE(RIGHT(L19,1))),"",VALUE(RIGHT(L19,1)))</f>
        <v/>
      </c>
      <c r="Y19" s="174">
        <f t="shared" si="10"/>
        <v>7</v>
      </c>
      <c r="Z19" s="175">
        <f t="shared" si="2"/>
        <v>3</v>
      </c>
      <c r="AA19" s="176">
        <f t="shared" si="3"/>
        <v>2</v>
      </c>
      <c r="AB19" s="177">
        <f t="shared" si="4"/>
        <v>0.66700000000000004</v>
      </c>
      <c r="AC19" s="178">
        <f t="shared" si="11"/>
        <v>10</v>
      </c>
      <c r="AD19" s="176">
        <f>IF(B19&gt;0,SUM(U17:U22),"")</f>
        <v>9</v>
      </c>
      <c r="AE19" s="164">
        <f t="shared" si="12"/>
        <v>1</v>
      </c>
      <c r="AF19" s="164">
        <f t="shared" si="16"/>
        <v>7</v>
      </c>
      <c r="AG19" s="207"/>
      <c r="AH19" s="210">
        <f t="shared" si="14"/>
        <v>66810089.000000007</v>
      </c>
      <c r="AM19" s="179">
        <f>IF(O17="V",IF(M19="D",0,1),IF(O17="D",IF(M19="V",0,1),1))</f>
        <v>1</v>
      </c>
      <c r="AN19" s="180">
        <f>IF(O18="V",IF(N19="D",0,1),IF(O18="D",IF(N19="V",0,1),1))</f>
        <v>1</v>
      </c>
      <c r="AO19" s="180"/>
      <c r="AP19" s="180">
        <f>IF(P19="V",IF(O20="D",0,1),IF(P19="D",IF(O20="V",0,1),1))</f>
        <v>1</v>
      </c>
      <c r="AQ19" s="180">
        <f>IF(Q19="V",IF(O21="D",0,1),IF(Q19="D",IF(O21="V",0,1),1))</f>
        <v>1</v>
      </c>
      <c r="AR19" s="181">
        <f>IF(R19="V",IF(O22="D",0,1),IF(R19="D",IF(O22="V",0,1),1))</f>
        <v>1</v>
      </c>
    </row>
    <row r="20" spans="1:44">
      <c r="A20" s="161">
        <f>IF(B20="","",3)</f>
        <v>3</v>
      </c>
      <c r="B20" s="162">
        <v>14</v>
      </c>
      <c r="C20" s="163">
        <f>IF(F20="","",4)</f>
        <v>4</v>
      </c>
      <c r="D20" s="164">
        <f t="shared" si="0"/>
        <v>10</v>
      </c>
      <c r="E20" s="165" t="str">
        <f t="shared" si="5"/>
        <v>はしまモア</v>
      </c>
      <c r="F20" s="166" t="str">
        <f t="shared" si="1"/>
        <v>石黒　莉愛</v>
      </c>
      <c r="G20" s="167">
        <v>2</v>
      </c>
      <c r="H20" s="169" t="s">
        <v>108</v>
      </c>
      <c r="I20" s="169">
        <v>2</v>
      </c>
      <c r="J20" s="168"/>
      <c r="K20" s="169"/>
      <c r="L20" s="170"/>
      <c r="M20" s="171" t="str">
        <f>LEFT(G20,1)</f>
        <v>2</v>
      </c>
      <c r="N20" s="172" t="str">
        <f>LEFT(H20,1)</f>
        <v>v</v>
      </c>
      <c r="O20" s="172" t="str">
        <f>LEFT(I20,1)</f>
        <v>2</v>
      </c>
      <c r="P20" s="172"/>
      <c r="Q20" s="172" t="str">
        <f>LEFT(K20,1)</f>
        <v/>
      </c>
      <c r="R20" s="173" t="str">
        <f t="shared" si="15"/>
        <v/>
      </c>
      <c r="S20" s="171">
        <f>IF(ISERROR(VALUE(RIGHT(G20,1))),"",VALUE(RIGHT(G20,1)))</f>
        <v>2</v>
      </c>
      <c r="T20" s="172">
        <f>IF(ISERROR(VALUE(RIGHT(H20,1))),"",VALUE(RIGHT(H20,1)))</f>
        <v>5</v>
      </c>
      <c r="U20" s="172">
        <f>IF(ISERROR(VALUE(RIGHT(I20,1))),"",VALUE(RIGHT(I20,1)))</f>
        <v>2</v>
      </c>
      <c r="V20" s="172"/>
      <c r="W20" s="172" t="str">
        <f>IF(ISERROR(VALUE(RIGHT(K20,1))),"",VALUE(RIGHT(K20,1)))</f>
        <v/>
      </c>
      <c r="X20" s="173" t="str">
        <f>IF(ISERROR(VALUE(RIGHT(L20,1))),"",VALUE(RIGHT(L20,1)))</f>
        <v/>
      </c>
      <c r="Y20" s="174">
        <f t="shared" si="10"/>
        <v>10</v>
      </c>
      <c r="Z20" s="175">
        <f t="shared" si="2"/>
        <v>3</v>
      </c>
      <c r="AA20" s="176">
        <f t="shared" si="3"/>
        <v>1</v>
      </c>
      <c r="AB20" s="177">
        <f t="shared" si="4"/>
        <v>0.33300000000000002</v>
      </c>
      <c r="AC20" s="178">
        <f t="shared" si="11"/>
        <v>9</v>
      </c>
      <c r="AD20" s="176">
        <f>IF(B20&gt;0,SUM(V17:V22),"")</f>
        <v>10</v>
      </c>
      <c r="AE20" s="164">
        <f t="shared" si="12"/>
        <v>-1</v>
      </c>
      <c r="AF20" s="164">
        <f t="shared" si="16"/>
        <v>10</v>
      </c>
      <c r="AG20" s="207"/>
      <c r="AH20" s="210">
        <f t="shared" si="14"/>
        <v>33209076</v>
      </c>
      <c r="AM20" s="179">
        <f>IF(P17="V",IF(M20="D",0,1),IF(P17="D",IF(M20="V",0,1),1))</f>
        <v>1</v>
      </c>
      <c r="AN20" s="180">
        <f>IF(P18="V",IF(N20="D",0,1),IF(P18="D",IF(N20="V",0,1),1))</f>
        <v>1</v>
      </c>
      <c r="AO20" s="180">
        <f>IF(P19="V",IF(O20="D",0,1),IF(P19="D",IF(O20="V",0,1),1))</f>
        <v>1</v>
      </c>
      <c r="AP20" s="180"/>
      <c r="AQ20" s="180">
        <f>IF(Q20="V",IF(P21="D",0,1),IF(Q20="D",IF(P21="V",0,1),1))</f>
        <v>1</v>
      </c>
      <c r="AR20" s="181">
        <f>IF(R20="V",IF(P22="D",0,1),IF(R20="D",IF(P22="V",0,1),1))</f>
        <v>1</v>
      </c>
    </row>
    <row r="21" spans="1:44">
      <c r="A21" s="161" t="str">
        <f>IF(B21="","",3)</f>
        <v/>
      </c>
      <c r="B21" s="162"/>
      <c r="C21" s="163" t="str">
        <f>IF(F21="","",5)</f>
        <v/>
      </c>
      <c r="D21" s="164" t="str">
        <f t="shared" si="0"/>
        <v/>
      </c>
      <c r="E21" s="165" t="str">
        <f t="shared" si="5"/>
        <v/>
      </c>
      <c r="F21" s="166" t="str">
        <f t="shared" si="1"/>
        <v/>
      </c>
      <c r="G21" s="167"/>
      <c r="H21" s="169"/>
      <c r="I21" s="169"/>
      <c r="J21" s="169"/>
      <c r="K21" s="168"/>
      <c r="L21" s="170"/>
      <c r="M21" s="171" t="str">
        <f>LEFT(G21,1)</f>
        <v/>
      </c>
      <c r="N21" s="172" t="str">
        <f>LEFT(H21,1)</f>
        <v/>
      </c>
      <c r="O21" s="172" t="str">
        <f>LEFT(I21,1)</f>
        <v/>
      </c>
      <c r="P21" s="172" t="str">
        <f>LEFT(J21,1)</f>
        <v/>
      </c>
      <c r="Q21" s="172"/>
      <c r="R21" s="173" t="str">
        <f t="shared" si="15"/>
        <v/>
      </c>
      <c r="S21" s="171" t="str">
        <f>IF(ISERROR(VALUE(RIGHT(G21,1))),"",VALUE(RIGHT(G21,1)))</f>
        <v/>
      </c>
      <c r="T21" s="172" t="str">
        <f>IF(ISERROR(VALUE(RIGHT(H21,1))),"",VALUE(RIGHT(H21,1)))</f>
        <v/>
      </c>
      <c r="U21" s="172" t="str">
        <f>IF(ISERROR(VALUE(RIGHT(I21,1))),"",VALUE(RIGHT(I21,1)))</f>
        <v/>
      </c>
      <c r="V21" s="172" t="str">
        <f>IF(ISERROR(VALUE(RIGHT(J21,1))),"",VALUE(RIGHT(J21,1)))</f>
        <v/>
      </c>
      <c r="W21" s="172"/>
      <c r="X21" s="173" t="str">
        <f>IF(ISERROR(VALUE(RIGHT(L21,1))),"",VALUE(RIGHT(L21,1)))</f>
        <v/>
      </c>
      <c r="Y21" s="174" t="str">
        <f t="shared" si="10"/>
        <v/>
      </c>
      <c r="Z21" s="175" t="str">
        <f t="shared" si="2"/>
        <v/>
      </c>
      <c r="AA21" s="176" t="str">
        <f t="shared" si="3"/>
        <v/>
      </c>
      <c r="AB21" s="177" t="str">
        <f t="shared" si="4"/>
        <v/>
      </c>
      <c r="AC21" s="178" t="str">
        <f t="shared" si="11"/>
        <v/>
      </c>
      <c r="AD21" s="176" t="str">
        <f>IF(B21&gt;0,SUM(W17:W22),"")</f>
        <v/>
      </c>
      <c r="AE21" s="164" t="str">
        <f t="shared" si="12"/>
        <v/>
      </c>
      <c r="AF21" s="164" t="str">
        <f t="shared" si="16"/>
        <v/>
      </c>
      <c r="AG21" s="207"/>
      <c r="AH21" s="210" t="str">
        <f t="shared" si="14"/>
        <v/>
      </c>
      <c r="AM21" s="179">
        <f>IF(Q17="V",IF(M21="D",0,1),IF(Q17="D",IF(M21="V",0,1),1))</f>
        <v>1</v>
      </c>
      <c r="AN21" s="180">
        <f>IF(Q18="V",IF(N21="D",0,1),IF(Q18="D",IF(N21="V",0,1),1))</f>
        <v>1</v>
      </c>
      <c r="AO21" s="180">
        <f>IF(Q19="V",IF(O21="D",0,1),IF(Q19="D",IF(O21="V",0,1),1))</f>
        <v>1</v>
      </c>
      <c r="AP21" s="180">
        <f>IF(Q20="V",IF(P21="D",0,1),IF(Q20="D",IF(P21="V",0,1),1))</f>
        <v>1</v>
      </c>
      <c r="AQ21" s="180"/>
      <c r="AR21" s="181">
        <f>IF(R21="V",IF(Q22="D",0,1),IF(R21="D",IF(Q22="V",0,1),1))</f>
        <v>1</v>
      </c>
    </row>
    <row r="22" spans="1:44">
      <c r="A22" s="182" t="str">
        <f>IF(B22="","",3)</f>
        <v/>
      </c>
      <c r="B22" s="183"/>
      <c r="C22" s="184" t="str">
        <f>IF(F22="","",6)</f>
        <v/>
      </c>
      <c r="D22" s="185" t="str">
        <f t="shared" si="0"/>
        <v/>
      </c>
      <c r="E22" s="186" t="str">
        <f t="shared" si="5"/>
        <v/>
      </c>
      <c r="F22" s="187" t="str">
        <f t="shared" si="1"/>
        <v/>
      </c>
      <c r="G22" s="188"/>
      <c r="H22" s="189"/>
      <c r="I22" s="189"/>
      <c r="J22" s="189"/>
      <c r="K22" s="189"/>
      <c r="L22" s="190"/>
      <c r="M22" s="191" t="str">
        <f>LEFT(G22,1)</f>
        <v/>
      </c>
      <c r="N22" s="192" t="str">
        <f>LEFT(H22,1)</f>
        <v/>
      </c>
      <c r="O22" s="192" t="str">
        <f>LEFT(I22,1)</f>
        <v/>
      </c>
      <c r="P22" s="192" t="str">
        <f>LEFT(J22,1)</f>
        <v/>
      </c>
      <c r="Q22" s="192" t="str">
        <f>LEFT(K22,1)</f>
        <v/>
      </c>
      <c r="R22" s="193" t="str">
        <f t="shared" si="15"/>
        <v/>
      </c>
      <c r="S22" s="191" t="str">
        <f>IF(ISERROR(VALUE(RIGHT(G22,1))),"",VALUE(RIGHT(G22,1)))</f>
        <v/>
      </c>
      <c r="T22" s="192" t="str">
        <f>IF(ISERROR(VALUE(RIGHT(H22,1))),"",VALUE(RIGHT(H22,1)))</f>
        <v/>
      </c>
      <c r="U22" s="192" t="str">
        <f>IF(ISERROR(VALUE(RIGHT(I22,1))),"",VALUE(RIGHT(I22,1)))</f>
        <v/>
      </c>
      <c r="V22" s="192" t="str">
        <f>IF(ISERROR(VALUE(RIGHT(J22,1))),"",VALUE(RIGHT(J22,1)))</f>
        <v/>
      </c>
      <c r="W22" s="192" t="str">
        <f>IF(ISERROR(VALUE(RIGHT(K22,1))),"",VALUE(RIGHT(K22,1)))</f>
        <v/>
      </c>
      <c r="X22" s="193"/>
      <c r="Y22" s="194" t="str">
        <f t="shared" si="10"/>
        <v/>
      </c>
      <c r="Z22" s="195" t="str">
        <f t="shared" si="2"/>
        <v/>
      </c>
      <c r="AA22" s="196" t="str">
        <f t="shared" si="3"/>
        <v/>
      </c>
      <c r="AB22" s="197" t="str">
        <f t="shared" si="4"/>
        <v/>
      </c>
      <c r="AC22" s="198" t="str">
        <f t="shared" si="11"/>
        <v/>
      </c>
      <c r="AD22" s="196" t="str">
        <f>IF(B22&gt;0,SUM(X17:X22),"")</f>
        <v/>
      </c>
      <c r="AE22" s="199" t="str">
        <f t="shared" si="12"/>
        <v/>
      </c>
      <c r="AF22" s="199" t="str">
        <f>IF(ISERROR(D22),"",D22)</f>
        <v/>
      </c>
      <c r="AG22" s="208"/>
      <c r="AH22" s="211" t="str">
        <f t="shared" si="14"/>
        <v/>
      </c>
      <c r="AM22" s="200">
        <f>IF(R17="V",IF(M22="D",0,1),IF(R17="D",IF(M22="V",0,1),1))</f>
        <v>1</v>
      </c>
      <c r="AN22" s="201">
        <f>IF(R18="V",IF(N22="D",0,1),IF(R18="D",IF(N22="V",0,1),1))</f>
        <v>1</v>
      </c>
      <c r="AO22" s="201">
        <f>IF(R19="V",IF(O22="D",0,1),IF(R19="D",IF(O22="V",0,1),1))</f>
        <v>1</v>
      </c>
      <c r="AP22" s="201">
        <f>IF(R20="V",IF(P22="D",0,1),IF(R20="D",IF(P22="V",0,1),1))</f>
        <v>1</v>
      </c>
      <c r="AQ22" s="201">
        <f>IF(R21="V",IF(Q22="D",0,1),IF(R21="D",IF(Q22="V",0,1),1))</f>
        <v>1</v>
      </c>
      <c r="AR22" s="202"/>
    </row>
    <row r="23" spans="1:44">
      <c r="A23" s="140">
        <v>4</v>
      </c>
      <c r="B23" s="141">
        <v>4</v>
      </c>
      <c r="C23" s="142">
        <f>IF(F23="","",1)</f>
        <v>1</v>
      </c>
      <c r="D23" s="143">
        <f t="shared" si="0"/>
        <v>4</v>
      </c>
      <c r="E23" s="144" t="str">
        <f t="shared" si="5"/>
        <v>はしまモア</v>
      </c>
      <c r="F23" s="145" t="str">
        <f t="shared" si="1"/>
        <v>髙橋　ののか</v>
      </c>
      <c r="G23" s="146"/>
      <c r="H23" s="147" t="s">
        <v>108</v>
      </c>
      <c r="I23" s="147" t="s">
        <v>111</v>
      </c>
      <c r="J23" s="147" t="s">
        <v>108</v>
      </c>
      <c r="K23" s="147"/>
      <c r="L23" s="148"/>
      <c r="M23" s="149"/>
      <c r="N23" s="150" t="str">
        <f>LEFT(H23,1)</f>
        <v>v</v>
      </c>
      <c r="O23" s="150" t="str">
        <f>LEFT(I23,1)</f>
        <v>v</v>
      </c>
      <c r="P23" s="150" t="str">
        <f>LEFT(J23,1)</f>
        <v>v</v>
      </c>
      <c r="Q23" s="150" t="str">
        <f>LEFT(K23,1)</f>
        <v/>
      </c>
      <c r="R23" s="151" t="str">
        <f t="shared" si="15"/>
        <v/>
      </c>
      <c r="S23" s="149"/>
      <c r="T23" s="150">
        <f>IF(ISERROR(VALUE(RIGHT(H23,1))),"",VALUE(RIGHT(H23,1)))</f>
        <v>5</v>
      </c>
      <c r="U23" s="150">
        <f>IF(ISERROR(VALUE(RIGHT(I23,1))),"",VALUE(RIGHT(I23,1)))</f>
        <v>3</v>
      </c>
      <c r="V23" s="150">
        <f>IF(ISERROR(VALUE(RIGHT(J23,1))),"",VALUE(RIGHT(J23,1)))</f>
        <v>5</v>
      </c>
      <c r="W23" s="150" t="str">
        <f>IF(ISERROR(VALUE(RIGHT(K23,1))),"",VALUE(RIGHT(K23,1)))</f>
        <v/>
      </c>
      <c r="X23" s="151" t="str">
        <f>IF(ISERROR(VALUE(RIGHT(L23,1))),"",VALUE(RIGHT(L23,1)))</f>
        <v/>
      </c>
      <c r="Y23" s="152">
        <f t="shared" si="10"/>
        <v>4</v>
      </c>
      <c r="Z23" s="153">
        <f t="shared" si="2"/>
        <v>3</v>
      </c>
      <c r="AA23" s="154">
        <f t="shared" si="3"/>
        <v>3</v>
      </c>
      <c r="AB23" s="155">
        <f t="shared" si="4"/>
        <v>1</v>
      </c>
      <c r="AC23" s="156">
        <f t="shared" si="11"/>
        <v>13</v>
      </c>
      <c r="AD23" s="154">
        <f>IF(B23&gt;0,SUM(S23:S28),"")</f>
        <v>2</v>
      </c>
      <c r="AE23" s="143">
        <f t="shared" si="12"/>
        <v>11</v>
      </c>
      <c r="AF23" s="143">
        <f>IF(ISERROR(D23),"",D23)</f>
        <v>4</v>
      </c>
      <c r="AG23" s="206"/>
      <c r="AH23" s="209">
        <f t="shared" si="14"/>
        <v>101113126</v>
      </c>
      <c r="AM23" s="158"/>
      <c r="AN23" s="159">
        <f>IF(N23="V",IF(M24="D",0,1),IF(N23="D",IF(M24="V",0,1),1))</f>
        <v>1</v>
      </c>
      <c r="AO23" s="159">
        <f>IF(O23="V",IF(M25="D",0,1),IF(O23="D",IF(M25="V",0,1),1))</f>
        <v>1</v>
      </c>
      <c r="AP23" s="159">
        <f>IF(P23="V",IF(M26="D",0,1),IF(P23="D",IF(M26="V",0,1),1))</f>
        <v>1</v>
      </c>
      <c r="AQ23" s="159">
        <f>IF(Q23="V",IF(M27="D",0,1),IF(Q23="D",IF(M27="V",0,1),1))</f>
        <v>1</v>
      </c>
      <c r="AR23" s="160">
        <f>IF(R23="V",IF(M28="D",0,1),IF(R23="D",IF(M28="V",0,1),1))</f>
        <v>1</v>
      </c>
    </row>
    <row r="24" spans="1:44">
      <c r="A24" s="161">
        <f>IF(B24="","",4)</f>
        <v>4</v>
      </c>
      <c r="B24" s="162">
        <v>5</v>
      </c>
      <c r="C24" s="163">
        <f>IF(F24="","",2)</f>
        <v>2</v>
      </c>
      <c r="D24" s="164">
        <f t="shared" si="0"/>
        <v>12</v>
      </c>
      <c r="E24" s="165" t="str">
        <f t="shared" si="5"/>
        <v>長野ジュニア</v>
      </c>
      <c r="F24" s="166" t="str">
        <f t="shared" si="1"/>
        <v>田中　鈴音</v>
      </c>
      <c r="G24" s="167">
        <v>0</v>
      </c>
      <c r="H24" s="168"/>
      <c r="I24" s="169">
        <v>1</v>
      </c>
      <c r="J24" s="169" t="s">
        <v>108</v>
      </c>
      <c r="K24" s="169"/>
      <c r="L24" s="170"/>
      <c r="M24" s="171" t="str">
        <f>LEFT(G24,1)</f>
        <v>0</v>
      </c>
      <c r="N24" s="172"/>
      <c r="O24" s="172" t="str">
        <f>LEFT(I24,1)</f>
        <v>1</v>
      </c>
      <c r="P24" s="172" t="str">
        <f>LEFT(J24,1)</f>
        <v>v</v>
      </c>
      <c r="Q24" s="172" t="str">
        <f>LEFT(K24,1)</f>
        <v/>
      </c>
      <c r="R24" s="173" t="str">
        <f t="shared" si="15"/>
        <v/>
      </c>
      <c r="S24" s="171">
        <f>IF(ISERROR(VALUE(RIGHT(G24,1))),"",VALUE(RIGHT(G24,1)))</f>
        <v>0</v>
      </c>
      <c r="T24" s="172"/>
      <c r="U24" s="172">
        <f>IF(ISERROR(VALUE(RIGHT(I24,1))),"",VALUE(RIGHT(I24,1)))</f>
        <v>1</v>
      </c>
      <c r="V24" s="172">
        <f>IF(ISERROR(VALUE(RIGHT(J24,1))),"",VALUE(RIGHT(J24,1)))</f>
        <v>5</v>
      </c>
      <c r="W24" s="172" t="str">
        <f>IF(ISERROR(VALUE(RIGHT(K24,1))),"",VALUE(RIGHT(K24,1)))</f>
        <v/>
      </c>
      <c r="X24" s="173" t="str">
        <f>IF(ISERROR(VALUE(RIGHT(L24,1))),"",VALUE(RIGHT(L24,1)))</f>
        <v/>
      </c>
      <c r="Y24" s="174">
        <f t="shared" si="10"/>
        <v>12</v>
      </c>
      <c r="Z24" s="175">
        <f t="shared" si="2"/>
        <v>3</v>
      </c>
      <c r="AA24" s="176">
        <f t="shared" si="3"/>
        <v>1</v>
      </c>
      <c r="AB24" s="177">
        <f t="shared" si="4"/>
        <v>0.33300000000000002</v>
      </c>
      <c r="AC24" s="178">
        <f t="shared" si="11"/>
        <v>6</v>
      </c>
      <c r="AD24" s="176">
        <f>IF(B24&gt;0,SUM(T23:T28),"")</f>
        <v>14</v>
      </c>
      <c r="AE24" s="164">
        <f t="shared" si="12"/>
        <v>-8</v>
      </c>
      <c r="AF24" s="164">
        <f t="shared" ref="AF24:AF27" si="17">IF(ISERROR(D24),"",D24)</f>
        <v>12</v>
      </c>
      <c r="AG24" s="207"/>
      <c r="AH24" s="210">
        <f t="shared" si="14"/>
        <v>32506055</v>
      </c>
      <c r="AM24" s="179">
        <f>IF(N23="V",IF(M24="D",0,1),IF(N23="D",IF(M24="V",0,1),1))</f>
        <v>1</v>
      </c>
      <c r="AN24" s="180"/>
      <c r="AO24" s="180">
        <f>IF(O24="V",IF(N25="D",0,1),IF(O24="D",IF(N25="V",0,1),1))</f>
        <v>1</v>
      </c>
      <c r="AP24" s="180">
        <f>IF(P24="V",IF(N26="D",0,1),IF(P24="D",IF(N26="V",0,1),1))</f>
        <v>1</v>
      </c>
      <c r="AQ24" s="180">
        <f>IF(Q24="V",IF(N27="D",0,1),IF(Q24="D",IF(N27="V",0,1),1))</f>
        <v>1</v>
      </c>
      <c r="AR24" s="181">
        <f>IF(R24="V",IF(N28="D",0,1),IF(R24="D",IF(N28="V",0,1),1))</f>
        <v>1</v>
      </c>
    </row>
    <row r="25" spans="1:44">
      <c r="A25" s="161">
        <f>IF(B25="","",4)</f>
        <v>4</v>
      </c>
      <c r="B25" s="162">
        <v>9</v>
      </c>
      <c r="C25" s="163">
        <f>IF(F25="","",3)</f>
        <v>3</v>
      </c>
      <c r="D25" s="164">
        <f t="shared" si="0"/>
        <v>5</v>
      </c>
      <c r="E25" s="165" t="str">
        <f t="shared" si="5"/>
        <v>和東Ｊｒ</v>
      </c>
      <c r="F25" s="166" t="str">
        <f t="shared" si="1"/>
        <v>鵜本　翠</v>
      </c>
      <c r="G25" s="167">
        <v>2</v>
      </c>
      <c r="H25" s="169" t="s">
        <v>108</v>
      </c>
      <c r="I25" s="168"/>
      <c r="J25" s="169" t="s">
        <v>108</v>
      </c>
      <c r="K25" s="169"/>
      <c r="L25" s="170"/>
      <c r="M25" s="171" t="str">
        <f>LEFT(G25,1)</f>
        <v>2</v>
      </c>
      <c r="N25" s="172" t="str">
        <f>LEFT(H25,1)</f>
        <v>v</v>
      </c>
      <c r="O25" s="172"/>
      <c r="P25" s="172" t="str">
        <f>LEFT(J25,1)</f>
        <v>v</v>
      </c>
      <c r="Q25" s="172" t="str">
        <f>LEFT(K25,1)</f>
        <v/>
      </c>
      <c r="R25" s="173" t="str">
        <f t="shared" si="15"/>
        <v/>
      </c>
      <c r="S25" s="171">
        <f>IF(ISERROR(VALUE(RIGHT(G25,1))),"",VALUE(RIGHT(G25,1)))</f>
        <v>2</v>
      </c>
      <c r="T25" s="172">
        <f>IF(ISERROR(VALUE(RIGHT(H25,1))),"",VALUE(RIGHT(H25,1)))</f>
        <v>5</v>
      </c>
      <c r="U25" s="172"/>
      <c r="V25" s="172">
        <f>IF(ISERROR(VALUE(RIGHT(J25,1))),"",VALUE(RIGHT(J25,1)))</f>
        <v>5</v>
      </c>
      <c r="W25" s="172" t="str">
        <f>IF(ISERROR(VALUE(RIGHT(K25,1))),"",VALUE(RIGHT(K25,1)))</f>
        <v/>
      </c>
      <c r="X25" s="173" t="str">
        <f>IF(ISERROR(VALUE(RIGHT(L25,1))),"",VALUE(RIGHT(L25,1)))</f>
        <v/>
      </c>
      <c r="Y25" s="174">
        <f t="shared" si="10"/>
        <v>5</v>
      </c>
      <c r="Z25" s="175">
        <f t="shared" si="2"/>
        <v>3</v>
      </c>
      <c r="AA25" s="176">
        <f t="shared" si="3"/>
        <v>2</v>
      </c>
      <c r="AB25" s="177">
        <f t="shared" si="4"/>
        <v>0.66700000000000004</v>
      </c>
      <c r="AC25" s="178">
        <f t="shared" si="11"/>
        <v>12</v>
      </c>
      <c r="AD25" s="176">
        <f>IF(B25&gt;0,SUM(U23:U28),"")</f>
        <v>4</v>
      </c>
      <c r="AE25" s="164">
        <f t="shared" si="12"/>
        <v>8</v>
      </c>
      <c r="AF25" s="164">
        <f t="shared" si="17"/>
        <v>5</v>
      </c>
      <c r="AG25" s="207"/>
      <c r="AH25" s="210">
        <f t="shared" si="14"/>
        <v>67512111</v>
      </c>
      <c r="AM25" s="179">
        <f>IF(O23="V",IF(M25="D",0,1),IF(O23="D",IF(M25="V",0,1),1))</f>
        <v>1</v>
      </c>
      <c r="AN25" s="180">
        <f>IF(O24="V",IF(N25="D",0,1),IF(O24="D",IF(N25="V",0,1),1))</f>
        <v>1</v>
      </c>
      <c r="AO25" s="180"/>
      <c r="AP25" s="180">
        <f>IF(P25="V",IF(O26="D",0,1),IF(P25="D",IF(O26="V",0,1),1))</f>
        <v>1</v>
      </c>
      <c r="AQ25" s="180">
        <f>IF(Q25="V",IF(O27="D",0,1),IF(Q25="D",IF(O27="V",0,1),1))</f>
        <v>1</v>
      </c>
      <c r="AR25" s="181">
        <f>IF(R25="V",IF(O28="D",0,1),IF(R25="D",IF(O28="V",0,1),1))</f>
        <v>1</v>
      </c>
    </row>
    <row r="26" spans="1:44">
      <c r="A26" s="161">
        <f>IF(B26="","",4)</f>
        <v>4</v>
      </c>
      <c r="B26" s="162">
        <v>13</v>
      </c>
      <c r="C26" s="163">
        <f>IF(F26="","",4)</f>
        <v>4</v>
      </c>
      <c r="D26" s="164">
        <f t="shared" si="0"/>
        <v>13</v>
      </c>
      <c r="E26" s="165" t="str">
        <f t="shared" si="5"/>
        <v>はしまモア</v>
      </c>
      <c r="F26" s="166" t="str">
        <f t="shared" si="1"/>
        <v>後藤　結衣</v>
      </c>
      <c r="G26" s="167">
        <v>0</v>
      </c>
      <c r="H26" s="169">
        <v>4</v>
      </c>
      <c r="I26" s="169">
        <v>0</v>
      </c>
      <c r="J26" s="168"/>
      <c r="K26" s="169"/>
      <c r="L26" s="170"/>
      <c r="M26" s="171" t="str">
        <f>LEFT(G26,1)</f>
        <v>0</v>
      </c>
      <c r="N26" s="172" t="str">
        <f>LEFT(H26,1)</f>
        <v>4</v>
      </c>
      <c r="O26" s="172" t="str">
        <f>LEFT(I26,1)</f>
        <v>0</v>
      </c>
      <c r="P26" s="172"/>
      <c r="Q26" s="172" t="str">
        <f>LEFT(K26,1)</f>
        <v/>
      </c>
      <c r="R26" s="173" t="str">
        <f t="shared" si="15"/>
        <v/>
      </c>
      <c r="S26" s="171">
        <f>IF(ISERROR(VALUE(RIGHT(G26,1))),"",VALUE(RIGHT(G26,1)))</f>
        <v>0</v>
      </c>
      <c r="T26" s="172">
        <f>IF(ISERROR(VALUE(RIGHT(H26,1))),"",VALUE(RIGHT(H26,1)))</f>
        <v>4</v>
      </c>
      <c r="U26" s="172">
        <f>IF(ISERROR(VALUE(RIGHT(I26,1))),"",VALUE(RIGHT(I26,1)))</f>
        <v>0</v>
      </c>
      <c r="V26" s="172"/>
      <c r="W26" s="172" t="str">
        <f>IF(ISERROR(VALUE(RIGHT(K26,1))),"",VALUE(RIGHT(K26,1)))</f>
        <v/>
      </c>
      <c r="X26" s="173" t="str">
        <f>IF(ISERROR(VALUE(RIGHT(L26,1))),"",VALUE(RIGHT(L26,1)))</f>
        <v/>
      </c>
      <c r="Y26" s="174">
        <f t="shared" si="10"/>
        <v>13</v>
      </c>
      <c r="Z26" s="175">
        <f t="shared" si="2"/>
        <v>3</v>
      </c>
      <c r="AA26" s="176">
        <f t="shared" si="3"/>
        <v>0</v>
      </c>
      <c r="AB26" s="177">
        <f t="shared" si="4"/>
        <v>0</v>
      </c>
      <c r="AC26" s="178">
        <f t="shared" si="11"/>
        <v>4</v>
      </c>
      <c r="AD26" s="176">
        <f>IF(B26&gt;0,SUM(V23:V28),"")</f>
        <v>15</v>
      </c>
      <c r="AE26" s="164">
        <f t="shared" si="12"/>
        <v>-11</v>
      </c>
      <c r="AF26" s="164">
        <f t="shared" si="17"/>
        <v>13</v>
      </c>
      <c r="AG26" s="207"/>
      <c r="AH26" s="210">
        <f t="shared" si="14"/>
        <v>-1095973</v>
      </c>
      <c r="AM26" s="179">
        <f>IF(P23="V",IF(M26="D",0,1),IF(P23="D",IF(M26="V",0,1),1))</f>
        <v>1</v>
      </c>
      <c r="AN26" s="180">
        <f>IF(P24="V",IF(N26="D",0,1),IF(P24="D",IF(N26="V",0,1),1))</f>
        <v>1</v>
      </c>
      <c r="AO26" s="180">
        <f>IF(P25="V",IF(O26="D",0,1),IF(P25="D",IF(O26="V",0,1),1))</f>
        <v>1</v>
      </c>
      <c r="AP26" s="180"/>
      <c r="AQ26" s="180">
        <f>IF(Q26="V",IF(P27="D",0,1),IF(Q26="D",IF(P27="V",0,1),1))</f>
        <v>1</v>
      </c>
      <c r="AR26" s="181">
        <f>IF(R26="V",IF(P28="D",0,1),IF(R26="D",IF(P28="V",0,1),1))</f>
        <v>1</v>
      </c>
    </row>
    <row r="27" spans="1:44">
      <c r="A27" s="161" t="str">
        <f>IF(B27="","",4)</f>
        <v/>
      </c>
      <c r="B27" s="162"/>
      <c r="C27" s="163" t="str">
        <f>IF(F27="","",5)</f>
        <v/>
      </c>
      <c r="D27" s="164" t="str">
        <f t="shared" si="0"/>
        <v/>
      </c>
      <c r="E27" s="165" t="str">
        <f t="shared" si="5"/>
        <v/>
      </c>
      <c r="F27" s="166" t="str">
        <f t="shared" si="1"/>
        <v/>
      </c>
      <c r="G27" s="167"/>
      <c r="H27" s="169"/>
      <c r="I27" s="169"/>
      <c r="J27" s="169"/>
      <c r="K27" s="168"/>
      <c r="L27" s="170"/>
      <c r="M27" s="171" t="str">
        <f>LEFT(G27,1)</f>
        <v/>
      </c>
      <c r="N27" s="172" t="str">
        <f>LEFT(H27,1)</f>
        <v/>
      </c>
      <c r="O27" s="172" t="str">
        <f>LEFT(I27,1)</f>
        <v/>
      </c>
      <c r="P27" s="172" t="str">
        <f>LEFT(J27,1)</f>
        <v/>
      </c>
      <c r="Q27" s="172"/>
      <c r="R27" s="173" t="str">
        <f t="shared" si="15"/>
        <v/>
      </c>
      <c r="S27" s="171" t="str">
        <f>IF(ISERROR(VALUE(RIGHT(G27,1))),"",VALUE(RIGHT(G27,1)))</f>
        <v/>
      </c>
      <c r="T27" s="172" t="str">
        <f>IF(ISERROR(VALUE(RIGHT(H27,1))),"",VALUE(RIGHT(H27,1)))</f>
        <v/>
      </c>
      <c r="U27" s="172" t="str">
        <f>IF(ISERROR(VALUE(RIGHT(I27,1))),"",VALUE(RIGHT(I27,1)))</f>
        <v/>
      </c>
      <c r="V27" s="172" t="str">
        <f>IF(ISERROR(VALUE(RIGHT(J27,1))),"",VALUE(RIGHT(J27,1)))</f>
        <v/>
      </c>
      <c r="W27" s="172"/>
      <c r="X27" s="173" t="str">
        <f>IF(ISERROR(VALUE(RIGHT(L27,1))),"",VALUE(RIGHT(L27,1)))</f>
        <v/>
      </c>
      <c r="Y27" s="174" t="str">
        <f t="shared" si="10"/>
        <v/>
      </c>
      <c r="Z27" s="175" t="str">
        <f t="shared" si="2"/>
        <v/>
      </c>
      <c r="AA27" s="176" t="str">
        <f t="shared" si="3"/>
        <v/>
      </c>
      <c r="AB27" s="177" t="str">
        <f t="shared" si="4"/>
        <v/>
      </c>
      <c r="AC27" s="178" t="str">
        <f t="shared" si="11"/>
        <v/>
      </c>
      <c r="AD27" s="176" t="str">
        <f>IF(B27&gt;0,SUM(W23:W28),"")</f>
        <v/>
      </c>
      <c r="AE27" s="164" t="str">
        <f t="shared" si="12"/>
        <v/>
      </c>
      <c r="AF27" s="164" t="str">
        <f t="shared" si="17"/>
        <v/>
      </c>
      <c r="AG27" s="207"/>
      <c r="AH27" s="210" t="str">
        <f t="shared" si="14"/>
        <v/>
      </c>
      <c r="AM27" s="179">
        <f>IF(Q23="V",IF(M27="D",0,1),IF(Q23="D",IF(M27="V",0,1),1))</f>
        <v>1</v>
      </c>
      <c r="AN27" s="180">
        <f>IF(Q24="V",IF(N27="D",0,1),IF(Q24="D",IF(N27="V",0,1),1))</f>
        <v>1</v>
      </c>
      <c r="AO27" s="180">
        <f>IF(Q25="V",IF(O27="D",0,1),IF(Q25="D",IF(O27="V",0,1),1))</f>
        <v>1</v>
      </c>
      <c r="AP27" s="180">
        <f>IF(Q26="V",IF(P27="D",0,1),IF(Q26="D",IF(P27="V",0,1),1))</f>
        <v>1</v>
      </c>
      <c r="AQ27" s="180"/>
      <c r="AR27" s="181">
        <f>IF(R27="V",IF(Q28="D",0,1),IF(R27="D",IF(Q28="V",0,1),1))</f>
        <v>1</v>
      </c>
    </row>
    <row r="28" spans="1:44">
      <c r="A28" s="182" t="str">
        <f>IF(B28="","",4)</f>
        <v/>
      </c>
      <c r="B28" s="183"/>
      <c r="C28" s="184" t="str">
        <f>IF(F28="","",6)</f>
        <v/>
      </c>
      <c r="D28" s="185" t="str">
        <f t="shared" si="0"/>
        <v/>
      </c>
      <c r="E28" s="186" t="str">
        <f t="shared" si="5"/>
        <v/>
      </c>
      <c r="F28" s="187" t="str">
        <f t="shared" si="1"/>
        <v/>
      </c>
      <c r="G28" s="188"/>
      <c r="H28" s="189"/>
      <c r="I28" s="189"/>
      <c r="J28" s="189"/>
      <c r="K28" s="189"/>
      <c r="L28" s="190"/>
      <c r="M28" s="191" t="str">
        <f>LEFT(G28,1)</f>
        <v/>
      </c>
      <c r="N28" s="192" t="str">
        <f>LEFT(H28,1)</f>
        <v/>
      </c>
      <c r="O28" s="192" t="str">
        <f>LEFT(I28,1)</f>
        <v/>
      </c>
      <c r="P28" s="192" t="str">
        <f>LEFT(J28,1)</f>
        <v/>
      </c>
      <c r="Q28" s="192" t="str">
        <f>LEFT(K28,1)</f>
        <v/>
      </c>
      <c r="R28" s="193" t="str">
        <f t="shared" si="15"/>
        <v/>
      </c>
      <c r="S28" s="191" t="str">
        <f>IF(ISERROR(VALUE(RIGHT(G28,1))),"",VALUE(RIGHT(G28,1)))</f>
        <v/>
      </c>
      <c r="T28" s="192" t="str">
        <f>IF(ISERROR(VALUE(RIGHT(H28,1))),"",VALUE(RIGHT(H28,1)))</f>
        <v/>
      </c>
      <c r="U28" s="192" t="str">
        <f>IF(ISERROR(VALUE(RIGHT(I28,1))),"",VALUE(RIGHT(I28,1)))</f>
        <v/>
      </c>
      <c r="V28" s="192" t="str">
        <f>IF(ISERROR(VALUE(RIGHT(J28,1))),"",VALUE(RIGHT(J28,1)))</f>
        <v/>
      </c>
      <c r="W28" s="192" t="str">
        <f>IF(ISERROR(VALUE(RIGHT(K28,1))),"",VALUE(RIGHT(K28,1)))</f>
        <v/>
      </c>
      <c r="X28" s="193"/>
      <c r="Y28" s="194" t="str">
        <f t="shared" si="10"/>
        <v/>
      </c>
      <c r="Z28" s="195" t="str">
        <f t="shared" si="2"/>
        <v/>
      </c>
      <c r="AA28" s="196" t="str">
        <f t="shared" si="3"/>
        <v/>
      </c>
      <c r="AB28" s="197" t="str">
        <f t="shared" si="4"/>
        <v/>
      </c>
      <c r="AC28" s="198" t="str">
        <f t="shared" si="11"/>
        <v/>
      </c>
      <c r="AD28" s="196" t="str">
        <f>IF(B28&gt;0,SUM(X23:X28),"")</f>
        <v/>
      </c>
      <c r="AE28" s="199" t="str">
        <f t="shared" si="12"/>
        <v/>
      </c>
      <c r="AF28" s="199" t="str">
        <f>IF(ISERROR(D28),"",D28)</f>
        <v/>
      </c>
      <c r="AG28" s="208"/>
      <c r="AH28" s="211" t="str">
        <f t="shared" si="14"/>
        <v/>
      </c>
      <c r="AM28" s="200">
        <f>IF(R23="V",IF(M28="D",0,1),IF(R23="D",IF(M28="V",0,1),1))</f>
        <v>1</v>
      </c>
      <c r="AN28" s="201">
        <f>IF(R24="V",IF(N28="D",0,1),IF(R24="D",IF(N28="V",0,1),1))</f>
        <v>1</v>
      </c>
      <c r="AO28" s="201">
        <f>IF(R25="V",IF(O28="D",0,1),IF(R25="D",IF(O28="V",0,1),1))</f>
        <v>1</v>
      </c>
      <c r="AP28" s="201">
        <f>IF(R26="V",IF(P28="D",0,1),IF(R26="D",IF(P28="V",0,1),1))</f>
        <v>1</v>
      </c>
      <c r="AQ28" s="201">
        <f>IF(R27="V",IF(Q28="D",0,1),IF(R27="D",IF(Q28="V",0,1),1))</f>
        <v>1</v>
      </c>
      <c r="AR28" s="202"/>
    </row>
    <row r="29" spans="1:44" s="204" customFormat="1">
      <c r="A29" s="204">
        <v>16</v>
      </c>
      <c r="E29" s="203" t="s">
        <v>41</v>
      </c>
      <c r="F29" s="203" t="s">
        <v>34</v>
      </c>
      <c r="G29" s="204" t="s">
        <v>42</v>
      </c>
      <c r="H29" s="204" t="s">
        <v>42</v>
      </c>
      <c r="I29" s="204" t="s">
        <v>42</v>
      </c>
      <c r="J29" s="204" t="s">
        <v>42</v>
      </c>
      <c r="K29" s="204" t="s">
        <v>42</v>
      </c>
      <c r="L29" s="204" t="s">
        <v>42</v>
      </c>
      <c r="AI29" s="205"/>
    </row>
  </sheetData>
  <sheetProtection sheet="1" objects="1" scenarios="1" formatCells="0" selectLockedCells="1"/>
  <mergeCells count="4">
    <mergeCell ref="A1:AA1"/>
    <mergeCell ref="A2:AA2"/>
    <mergeCell ref="A3:AA3"/>
    <mergeCell ref="AB3:AE3"/>
  </mergeCells>
  <phoneticPr fontId="2"/>
  <conditionalFormatting sqref="M11:X15 M5:X9 M23:X27 M17:X21">
    <cfRule type="expression" dxfId="24" priority="7" stopIfTrue="1">
      <formula>AS5=1</formula>
    </cfRule>
  </conditionalFormatting>
  <conditionalFormatting sqref="G1:L28 G30:L1048576">
    <cfRule type="expression" dxfId="23" priority="8" stopIfTrue="1">
      <formula>AM1=1</formula>
    </cfRule>
  </conditionalFormatting>
  <conditionalFormatting sqref="AN5:AR5 AO6:AR6 AP7:AR7 AQ8:AR8 AR9 AQ10 AP9:AP10 AO8:AO10 AN7:AN10 AM6:AM10 AN11:AR11 AO12:AR12 AP13:AR13 AQ14:AR14 AR15 AQ16 AP15:AP16 AO14:AO16 AN13:AN16 AM12:AM16 AN17:AR17 AO18:AR18 AP19:AR19 AQ20:AR20 AR21 AQ22 AP21:AP22 AO20:AO22 AN19:AN22 AM18:AM22 AN23:AR23 AO24:AR24 AP25:AR25 AQ26:AR26 AR27 AQ28 AP27:AP28 AO26:AO28 AN25:AN28 AM24:AM28">
    <cfRule type="cellIs" dxfId="22" priority="9" stopIfTrue="1" operator="equal">
      <formula>1</formula>
    </cfRule>
  </conditionalFormatting>
  <conditionalFormatting sqref="B5:B28">
    <cfRule type="cellIs" dxfId="21" priority="6" operator="equal">
      <formula>""</formula>
    </cfRule>
  </conditionalFormatting>
  <conditionalFormatting sqref="E29">
    <cfRule type="cellIs" dxfId="20" priority="1" stopIfTrue="1" operator="equal">
      <formula>""</formula>
    </cfRule>
    <cfRule type="cellIs" dxfId="19" priority="2" stopIfTrue="1" operator="notEqual">
      <formula>""</formula>
    </cfRule>
  </conditionalFormatting>
  <conditionalFormatting sqref="G29:L29">
    <cfRule type="expression" dxfId="18" priority="3" stopIfTrue="1">
      <formula>AM29=1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H5:L5 I6:L6 J7:L7 K8:L8 L9 H7:H10 I8:I10 J9:J10 K10 H17:L17 I18:L18 J19:L19 H23:L23 I24:L24 G6:G10 J25:L25 K20:L20 H11:L11 L21 I12:L12 H19:H22 J13:L13 I20:I22 K14:L14 J21:J22 L15 H13:H16 I14:I16 K26:L26 J15:J16 K16 K22 L27 H25:H28 I26:I28 J27:J28 G18:G22 K28 G24:G28 G12:G16">
      <formula1>OR(AND(G5&gt;=0,G5&lt;=5),G5="V0",G5="V1",G5="V2",G5="V3",G5="V4",G5="V5")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6" fitToHeight="2" orientation="portrait" horizontalDpi="360" verticalDpi="360" r:id="rId1"/>
  <headerFooter alignWithMargins="0">
    <oddHeader>&amp;R&amp;"ＭＳ ゴシック,標準"&amp;11&amp;P / &amp;Nページ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Normal="100" zoomScaleSheetLayoutView="100" workbookViewId="0">
      <selection sqref="A1:D1"/>
    </sheetView>
  </sheetViews>
  <sheetFormatPr defaultRowHeight="13.5"/>
  <cols>
    <col min="1" max="2" width="4" style="212" bestFit="1" customWidth="1"/>
    <col min="3" max="3" width="22.140625" style="212" bestFit="1" customWidth="1"/>
    <col min="4" max="4" width="17.42578125" style="212" bestFit="1" customWidth="1"/>
    <col min="5" max="16384" width="9.140625" style="212"/>
  </cols>
  <sheetData>
    <row r="1" spans="1:4">
      <c r="A1" s="267" t="str">
        <f>"　"&amp;名簿!A2</f>
        <v>　小学1-3年女子</v>
      </c>
      <c r="B1" s="267"/>
      <c r="C1" s="267"/>
      <c r="D1" s="267"/>
    </row>
    <row r="2" spans="1:4" s="91" customFormat="1">
      <c r="A2" s="213" t="s">
        <v>36</v>
      </c>
      <c r="B2" s="214" t="s">
        <v>0</v>
      </c>
      <c r="C2" s="215" t="s">
        <v>16</v>
      </c>
      <c r="D2" s="214" t="s">
        <v>8</v>
      </c>
    </row>
    <row r="3" spans="1:4">
      <c r="A3" s="216">
        <f>'予選 Ｐ'!A5</f>
        <v>1</v>
      </c>
      <c r="B3" s="217">
        <f>'予選 Ｐ'!C5</f>
        <v>1</v>
      </c>
      <c r="C3" s="217" t="str">
        <f>'予選 Ｐ'!E5</f>
        <v>アレ　フェンシング</v>
      </c>
      <c r="D3" s="217" t="str">
        <f>'予選 Ｐ'!F5</f>
        <v>古市　颯希</v>
      </c>
    </row>
    <row r="4" spans="1:4">
      <c r="A4" s="218">
        <f>'予選 Ｐ'!A6</f>
        <v>1</v>
      </c>
      <c r="B4" s="219">
        <f>'予選 Ｐ'!C6</f>
        <v>2</v>
      </c>
      <c r="C4" s="219" t="str">
        <f>'予選 Ｐ'!E6</f>
        <v>滋賀ＪＦＣ</v>
      </c>
      <c r="D4" s="219" t="str">
        <f>'予選 Ｐ'!F6</f>
        <v>畑中　七葉</v>
      </c>
    </row>
    <row r="5" spans="1:4">
      <c r="A5" s="218">
        <f>'予選 Ｐ'!A7</f>
        <v>1</v>
      </c>
      <c r="B5" s="219">
        <f>'予選 Ｐ'!C7</f>
        <v>3</v>
      </c>
      <c r="C5" s="219" t="str">
        <f>'予選 Ｐ'!E7</f>
        <v>はしまモア</v>
      </c>
      <c r="D5" s="219" t="str">
        <f>'予選 Ｐ'!F7</f>
        <v>杉山　妃埜</v>
      </c>
    </row>
    <row r="6" spans="1:4">
      <c r="A6" s="218">
        <f>'予選 Ｐ'!A8</f>
        <v>1</v>
      </c>
      <c r="B6" s="219">
        <f>'予選 Ｐ'!C8</f>
        <v>4</v>
      </c>
      <c r="C6" s="219" t="str">
        <f>'予選 Ｐ'!E8</f>
        <v>はしまモア</v>
      </c>
      <c r="D6" s="219" t="str">
        <f>'予選 Ｐ'!F8</f>
        <v>勝野　心空</v>
      </c>
    </row>
    <row r="7" spans="1:4">
      <c r="A7" s="218" t="str">
        <f>'予選 Ｐ'!A9</f>
        <v/>
      </c>
      <c r="B7" s="219" t="str">
        <f>'予選 Ｐ'!C9</f>
        <v/>
      </c>
      <c r="C7" s="219" t="str">
        <f>'予選 Ｐ'!E9</f>
        <v/>
      </c>
      <c r="D7" s="219" t="str">
        <f>'予選 Ｐ'!F9</f>
        <v/>
      </c>
    </row>
    <row r="8" spans="1:4">
      <c r="A8" s="220" t="str">
        <f>'予選 Ｐ'!A10</f>
        <v/>
      </c>
      <c r="B8" s="221" t="str">
        <f>'予選 Ｐ'!C10</f>
        <v/>
      </c>
      <c r="C8" s="221" t="str">
        <f>'予選 Ｐ'!E10</f>
        <v/>
      </c>
      <c r="D8" s="221" t="str">
        <f>'予選 Ｐ'!F10</f>
        <v/>
      </c>
    </row>
    <row r="9" spans="1:4">
      <c r="A9" s="216">
        <f>'予選 Ｐ'!A11</f>
        <v>2</v>
      </c>
      <c r="B9" s="217">
        <f>'予選 Ｐ'!C11</f>
        <v>1</v>
      </c>
      <c r="C9" s="217" t="str">
        <f>'予選 Ｐ'!E11</f>
        <v>京都フューチャー</v>
      </c>
      <c r="D9" s="217" t="str">
        <f>'予選 Ｐ'!F11</f>
        <v>田中　うの</v>
      </c>
    </row>
    <row r="10" spans="1:4">
      <c r="A10" s="218">
        <f>'予選 Ｐ'!A12</f>
        <v>2</v>
      </c>
      <c r="B10" s="219">
        <f>'予選 Ｐ'!C12</f>
        <v>2</v>
      </c>
      <c r="C10" s="219" t="str">
        <f>'予選 Ｐ'!E12</f>
        <v>武生ＪＦＣ</v>
      </c>
      <c r="D10" s="219" t="str">
        <f>'予選 Ｐ'!F12</f>
        <v>矢部　結愛</v>
      </c>
    </row>
    <row r="11" spans="1:4">
      <c r="A11" s="218">
        <f>'予選 Ｐ'!A13</f>
        <v>2</v>
      </c>
      <c r="B11" s="219">
        <f>'予選 Ｐ'!C13</f>
        <v>3</v>
      </c>
      <c r="C11" s="219" t="str">
        <f>'予選 Ｐ'!E13</f>
        <v>養老ＦＣ</v>
      </c>
      <c r="D11" s="219" t="str">
        <f>'予選 Ｐ'!F13</f>
        <v>伊東　愛苺</v>
      </c>
    </row>
    <row r="12" spans="1:4">
      <c r="A12" s="218">
        <f>'予選 Ｐ'!A14</f>
        <v>2</v>
      </c>
      <c r="B12" s="219">
        <f>'予選 Ｐ'!C14</f>
        <v>4</v>
      </c>
      <c r="C12" s="219" t="str">
        <f>'予選 Ｐ'!E14</f>
        <v>はしまモア</v>
      </c>
      <c r="D12" s="219" t="str">
        <f>'予選 Ｐ'!F14</f>
        <v>山田　椛暖</v>
      </c>
    </row>
    <row r="13" spans="1:4">
      <c r="A13" s="218" t="str">
        <f>'予選 Ｐ'!A15</f>
        <v/>
      </c>
      <c r="B13" s="219" t="str">
        <f>'予選 Ｐ'!C15</f>
        <v/>
      </c>
      <c r="C13" s="219" t="str">
        <f>'予選 Ｐ'!E15</f>
        <v/>
      </c>
      <c r="D13" s="219" t="str">
        <f>'予選 Ｐ'!F15</f>
        <v/>
      </c>
    </row>
    <row r="14" spans="1:4">
      <c r="A14" s="220" t="str">
        <f>'予選 Ｐ'!A16</f>
        <v/>
      </c>
      <c r="B14" s="221" t="str">
        <f>'予選 Ｐ'!C16</f>
        <v/>
      </c>
      <c r="C14" s="221" t="str">
        <f>'予選 Ｐ'!E16</f>
        <v/>
      </c>
      <c r="D14" s="221" t="str">
        <f>'予選 Ｐ'!F16</f>
        <v/>
      </c>
    </row>
    <row r="15" spans="1:4">
      <c r="A15" s="216">
        <f>'予選 Ｐ'!A17</f>
        <v>3</v>
      </c>
      <c r="B15" s="217">
        <f>'予選 Ｐ'!C17</f>
        <v>1</v>
      </c>
      <c r="C15" s="217" t="str">
        <f>'予選 Ｐ'!E17</f>
        <v>京都フューチャー</v>
      </c>
      <c r="D15" s="217" t="str">
        <f>'予選 Ｐ'!F17</f>
        <v>熊本　詩乃</v>
      </c>
    </row>
    <row r="16" spans="1:4">
      <c r="A16" s="218">
        <f>'予選 Ｐ'!A18</f>
        <v>3</v>
      </c>
      <c r="B16" s="219">
        <f>'予選 Ｐ'!C18</f>
        <v>2</v>
      </c>
      <c r="C16" s="219" t="str">
        <f>'予選 Ｐ'!E18</f>
        <v>長野ジュニア</v>
      </c>
      <c r="D16" s="219" t="str">
        <f>'予選 Ｐ'!F18</f>
        <v>原　悠莉</v>
      </c>
    </row>
    <row r="17" spans="1:4">
      <c r="A17" s="218">
        <f>'予選 Ｐ'!A19</f>
        <v>3</v>
      </c>
      <c r="B17" s="219">
        <f>'予選 Ｐ'!C19</f>
        <v>3</v>
      </c>
      <c r="C17" s="219" t="str">
        <f>'予選 Ｐ'!E19</f>
        <v>養老ＦＣ</v>
      </c>
      <c r="D17" s="219" t="str">
        <f>'予選 Ｐ'!F19</f>
        <v>三輪　楓華</v>
      </c>
    </row>
    <row r="18" spans="1:4">
      <c r="A18" s="218">
        <f>'予選 Ｐ'!A20</f>
        <v>3</v>
      </c>
      <c r="B18" s="219">
        <f>'予選 Ｐ'!C20</f>
        <v>4</v>
      </c>
      <c r="C18" s="219" t="str">
        <f>'予選 Ｐ'!E20</f>
        <v>はしまモア</v>
      </c>
      <c r="D18" s="219" t="str">
        <f>'予選 Ｐ'!F20</f>
        <v>石黒　莉愛</v>
      </c>
    </row>
    <row r="19" spans="1:4">
      <c r="A19" s="218" t="str">
        <f>'予選 Ｐ'!A21</f>
        <v/>
      </c>
      <c r="B19" s="219" t="str">
        <f>'予選 Ｐ'!C21</f>
        <v/>
      </c>
      <c r="C19" s="219" t="str">
        <f>'予選 Ｐ'!E21</f>
        <v/>
      </c>
      <c r="D19" s="219" t="str">
        <f>'予選 Ｐ'!F21</f>
        <v/>
      </c>
    </row>
    <row r="20" spans="1:4">
      <c r="A20" s="220" t="str">
        <f>'予選 Ｐ'!A22</f>
        <v/>
      </c>
      <c r="B20" s="221" t="str">
        <f>'予選 Ｐ'!C22</f>
        <v/>
      </c>
      <c r="C20" s="221" t="str">
        <f>'予選 Ｐ'!E22</f>
        <v/>
      </c>
      <c r="D20" s="221" t="str">
        <f>'予選 Ｐ'!F22</f>
        <v/>
      </c>
    </row>
    <row r="21" spans="1:4">
      <c r="A21" s="216">
        <f>'予選 Ｐ'!A23</f>
        <v>4</v>
      </c>
      <c r="B21" s="217">
        <f>'予選 Ｐ'!C23</f>
        <v>1</v>
      </c>
      <c r="C21" s="217" t="str">
        <f>'予選 Ｐ'!E23</f>
        <v>はしまモア</v>
      </c>
      <c r="D21" s="217" t="str">
        <f>'予選 Ｐ'!F23</f>
        <v>髙橋　ののか</v>
      </c>
    </row>
    <row r="22" spans="1:4">
      <c r="A22" s="218">
        <f>'予選 Ｐ'!A24</f>
        <v>4</v>
      </c>
      <c r="B22" s="219">
        <f>'予選 Ｐ'!C24</f>
        <v>2</v>
      </c>
      <c r="C22" s="219" t="str">
        <f>'予選 Ｐ'!E24</f>
        <v>長野ジュニア</v>
      </c>
      <c r="D22" s="219" t="str">
        <f>'予選 Ｐ'!F24</f>
        <v>田中　鈴音</v>
      </c>
    </row>
    <row r="23" spans="1:4">
      <c r="A23" s="218">
        <f>'予選 Ｐ'!A25</f>
        <v>4</v>
      </c>
      <c r="B23" s="219">
        <f>'予選 Ｐ'!C25</f>
        <v>3</v>
      </c>
      <c r="C23" s="219" t="str">
        <f>'予選 Ｐ'!E25</f>
        <v>和東Ｊｒ</v>
      </c>
      <c r="D23" s="219" t="str">
        <f>'予選 Ｐ'!F25</f>
        <v>鵜本　翠</v>
      </c>
    </row>
    <row r="24" spans="1:4">
      <c r="A24" s="218">
        <f>'予選 Ｐ'!A26</f>
        <v>4</v>
      </c>
      <c r="B24" s="219">
        <f>'予選 Ｐ'!C26</f>
        <v>4</v>
      </c>
      <c r="C24" s="219" t="str">
        <f>'予選 Ｐ'!E26</f>
        <v>はしまモア</v>
      </c>
      <c r="D24" s="219" t="str">
        <f>'予選 Ｐ'!F26</f>
        <v>後藤　結衣</v>
      </c>
    </row>
    <row r="25" spans="1:4">
      <c r="A25" s="218" t="str">
        <f>'予選 Ｐ'!A27</f>
        <v/>
      </c>
      <c r="B25" s="219" t="str">
        <f>'予選 Ｐ'!C27</f>
        <v/>
      </c>
      <c r="C25" s="219" t="str">
        <f>'予選 Ｐ'!E27</f>
        <v/>
      </c>
      <c r="D25" s="219" t="str">
        <f>'予選 Ｐ'!F27</f>
        <v/>
      </c>
    </row>
    <row r="26" spans="1:4">
      <c r="A26" s="220" t="str">
        <f>'予選 Ｐ'!A28</f>
        <v/>
      </c>
      <c r="B26" s="221" t="str">
        <f>'予選 Ｐ'!C28</f>
        <v/>
      </c>
      <c r="C26" s="221" t="str">
        <f>'予選 Ｐ'!E28</f>
        <v/>
      </c>
      <c r="D26" s="221" t="str">
        <f>'予選 Ｐ'!F28</f>
        <v/>
      </c>
    </row>
    <row r="27" spans="1:4" s="91" customFormat="1">
      <c r="A27" s="91">
        <v>16</v>
      </c>
      <c r="B27" s="91">
        <v>10</v>
      </c>
      <c r="C27" s="35" t="s">
        <v>45</v>
      </c>
      <c r="D27" s="34" t="s">
        <v>34</v>
      </c>
    </row>
  </sheetData>
  <mergeCells count="1">
    <mergeCell ref="A1:D1"/>
  </mergeCells>
  <phoneticPr fontId="3"/>
  <conditionalFormatting sqref="C27">
    <cfRule type="cellIs" dxfId="17" priority="1" stopIfTrue="1" operator="equal">
      <formula>""</formula>
    </cfRule>
    <cfRule type="cellIs" dxfId="16" priority="2" stopIfTrue="1" operator="notEqual">
      <formula>""</formula>
    </cfRule>
  </conditionalFormatting>
  <pageMargins left="0.59055118110236215" right="0.59055118110236215" top="0.59055118110236215" bottom="0.5905511811023621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view="pageBreakPreview" zoomScaleNormal="100" workbookViewId="0">
      <selection activeCell="K1" sqref="K1:O2"/>
    </sheetView>
  </sheetViews>
  <sheetFormatPr defaultRowHeight="13.5" outlineLevelCol="1"/>
  <cols>
    <col min="1" max="1" width="4" style="49" bestFit="1" customWidth="1"/>
    <col min="2" max="2" width="6" style="49" hidden="1" customWidth="1" outlineLevel="1"/>
    <col min="3" max="3" width="7.7109375" style="49" bestFit="1" customWidth="1" collapsed="1"/>
    <col min="4" max="4" width="19.7109375" style="89" bestFit="1" customWidth="1"/>
    <col min="5" max="5" width="15.28515625" style="90" bestFit="1" customWidth="1"/>
    <col min="6" max="15" width="5.28515625" style="49" customWidth="1"/>
    <col min="16" max="16" width="2.28515625" style="49" customWidth="1"/>
    <col min="17" max="16384" width="9.140625" style="49"/>
  </cols>
  <sheetData>
    <row r="1" spans="1:16" s="36" customFormat="1" ht="17.25">
      <c r="A1" s="278" t="str">
        <f>名簿!$A$1</f>
        <v>第9回川本杯はしまモアフェンシング大会</v>
      </c>
      <c r="B1" s="278"/>
      <c r="C1" s="278"/>
      <c r="D1" s="278"/>
      <c r="E1" s="278"/>
      <c r="F1" s="278"/>
      <c r="G1" s="278"/>
      <c r="H1" s="278"/>
      <c r="I1" s="278"/>
      <c r="J1" s="279"/>
      <c r="K1" s="227" t="s">
        <v>53</v>
      </c>
      <c r="L1" s="272" t="s">
        <v>54</v>
      </c>
      <c r="M1" s="272"/>
      <c r="N1" s="272"/>
      <c r="O1" s="273"/>
    </row>
    <row r="2" spans="1:16" s="37" customFormat="1" ht="14.25">
      <c r="A2" s="276" t="str">
        <f>"　"&amp;名簿!$A$2</f>
        <v>　小学1-3年女子</v>
      </c>
      <c r="B2" s="276"/>
      <c r="C2" s="276"/>
      <c r="D2" s="276"/>
      <c r="E2" s="276"/>
      <c r="F2" s="276"/>
      <c r="G2" s="276"/>
      <c r="H2" s="276"/>
      <c r="I2" s="276"/>
      <c r="J2" s="277"/>
      <c r="K2" s="228"/>
      <c r="L2" s="274" t="s">
        <v>55</v>
      </c>
      <c r="M2" s="274"/>
      <c r="N2" s="274"/>
      <c r="O2" s="275"/>
    </row>
    <row r="3" spans="1:16" s="37" customFormat="1" ht="14.25">
      <c r="A3" s="268" t="str">
        <f>"　　"&amp;名簿!$A$3</f>
        <v>　　1回戦</v>
      </c>
      <c r="B3" s="268"/>
      <c r="C3" s="268"/>
      <c r="D3" s="268"/>
      <c r="E3" s="268"/>
      <c r="K3" s="269">
        <f>名簿!$E$3</f>
        <v>43184</v>
      </c>
      <c r="L3" s="269"/>
      <c r="M3" s="269"/>
      <c r="N3" s="269"/>
      <c r="O3" s="269"/>
    </row>
    <row r="4" spans="1:16">
      <c r="A4" s="38" t="s">
        <v>36</v>
      </c>
      <c r="B4" s="39" t="s">
        <v>13</v>
      </c>
      <c r="C4" s="40" t="s">
        <v>14</v>
      </c>
      <c r="D4" s="41" t="s">
        <v>7</v>
      </c>
      <c r="E4" s="42" t="s">
        <v>8</v>
      </c>
      <c r="F4" s="43">
        <v>1</v>
      </c>
      <c r="G4" s="44">
        <v>2</v>
      </c>
      <c r="H4" s="44">
        <v>3</v>
      </c>
      <c r="I4" s="44">
        <v>4</v>
      </c>
      <c r="J4" s="44">
        <v>5</v>
      </c>
      <c r="K4" s="45">
        <v>6</v>
      </c>
      <c r="L4" s="46" t="s">
        <v>37</v>
      </c>
      <c r="M4" s="47" t="s">
        <v>38</v>
      </c>
      <c r="N4" s="270" t="s">
        <v>6</v>
      </c>
      <c r="O4" s="271"/>
      <c r="P4" s="48"/>
    </row>
    <row r="5" spans="1:16" ht="18" customHeight="1">
      <c r="A5" s="50">
        <f>'予選 Ｐ'!A5</f>
        <v>1</v>
      </c>
      <c r="B5" s="51">
        <f>'予選 Ｐ'!B5</f>
        <v>1</v>
      </c>
      <c r="C5" s="52">
        <f>'予選 Ｐ'!C5</f>
        <v>1</v>
      </c>
      <c r="D5" s="14" t="str">
        <f>'予選 Ｐ'!E5</f>
        <v>アレ　フェンシング</v>
      </c>
      <c r="E5" s="15" t="str">
        <f>'予選 Ｐ'!F5</f>
        <v>古市　颯希</v>
      </c>
      <c r="F5" s="53"/>
      <c r="G5" s="54"/>
      <c r="H5" s="54"/>
      <c r="I5" s="54"/>
      <c r="J5" s="54"/>
      <c r="K5" s="55"/>
      <c r="L5" s="56"/>
      <c r="M5" s="57"/>
      <c r="N5" s="58"/>
      <c r="O5" s="59"/>
      <c r="P5" s="60"/>
    </row>
    <row r="6" spans="1:16" ht="18" customHeight="1">
      <c r="A6" s="61">
        <f>'予選 Ｐ'!A6</f>
        <v>1</v>
      </c>
      <c r="B6" s="62">
        <f>'予選 Ｐ'!B6</f>
        <v>7</v>
      </c>
      <c r="C6" s="63">
        <f>'予選 Ｐ'!C6</f>
        <v>2</v>
      </c>
      <c r="D6" s="16" t="str">
        <f>'予選 Ｐ'!E6</f>
        <v>滋賀ＪＦＣ</v>
      </c>
      <c r="E6" s="15" t="str">
        <f>'予選 Ｐ'!F6</f>
        <v>畑中　七葉</v>
      </c>
      <c r="F6" s="64"/>
      <c r="G6" s="65"/>
      <c r="H6" s="66"/>
      <c r="I6" s="66"/>
      <c r="J6" s="66"/>
      <c r="K6" s="67"/>
      <c r="L6" s="68"/>
      <c r="M6" s="69"/>
      <c r="N6" s="70"/>
      <c r="O6" s="71"/>
      <c r="P6" s="60"/>
    </row>
    <row r="7" spans="1:16" ht="18" customHeight="1">
      <c r="A7" s="61">
        <f>'予選 Ｐ'!A7</f>
        <v>1</v>
      </c>
      <c r="B7" s="62">
        <f>'予選 Ｐ'!B7</f>
        <v>12</v>
      </c>
      <c r="C7" s="63">
        <f>'予選 Ｐ'!C7</f>
        <v>3</v>
      </c>
      <c r="D7" s="16" t="str">
        <f>'予選 Ｐ'!E7</f>
        <v>はしまモア</v>
      </c>
      <c r="E7" s="15" t="str">
        <f>'予選 Ｐ'!F7</f>
        <v>杉山　妃埜</v>
      </c>
      <c r="F7" s="64"/>
      <c r="G7" s="66"/>
      <c r="H7" s="65"/>
      <c r="I7" s="66"/>
      <c r="J7" s="66"/>
      <c r="K7" s="67"/>
      <c r="L7" s="68"/>
      <c r="M7" s="69"/>
      <c r="N7" s="70"/>
      <c r="O7" s="71"/>
      <c r="P7" s="60"/>
    </row>
    <row r="8" spans="1:16" ht="18" customHeight="1">
      <c r="A8" s="61">
        <f>'予選 Ｐ'!A8</f>
        <v>1</v>
      </c>
      <c r="B8" s="62">
        <f>IF('予選 Ｐ'!B8="","",'予選 Ｐ'!B8)</f>
        <v>16</v>
      </c>
      <c r="C8" s="63">
        <f>'予選 Ｐ'!C8</f>
        <v>4</v>
      </c>
      <c r="D8" s="16" t="str">
        <f>'予選 Ｐ'!E8</f>
        <v>はしまモア</v>
      </c>
      <c r="E8" s="15" t="str">
        <f>'予選 Ｐ'!F8</f>
        <v>勝野　心空</v>
      </c>
      <c r="F8" s="64"/>
      <c r="G8" s="66"/>
      <c r="H8" s="66"/>
      <c r="I8" s="65"/>
      <c r="J8" s="66"/>
      <c r="K8" s="67"/>
      <c r="L8" s="68"/>
      <c r="M8" s="69"/>
      <c r="N8" s="70"/>
      <c r="O8" s="71"/>
      <c r="P8" s="60"/>
    </row>
    <row r="9" spans="1:16" ht="18" customHeight="1">
      <c r="A9" s="61" t="str">
        <f>'予選 Ｐ'!A9</f>
        <v/>
      </c>
      <c r="B9" s="62" t="str">
        <f>IF('予選 Ｐ'!B9="","",'予選 Ｐ'!B9)</f>
        <v/>
      </c>
      <c r="C9" s="63" t="str">
        <f>'予選 Ｐ'!C9</f>
        <v/>
      </c>
      <c r="D9" s="16" t="str">
        <f>'予選 Ｐ'!E9</f>
        <v/>
      </c>
      <c r="E9" s="15" t="str">
        <f>'予選 Ｐ'!F9</f>
        <v/>
      </c>
      <c r="F9" s="64"/>
      <c r="G9" s="66"/>
      <c r="H9" s="66"/>
      <c r="I9" s="66"/>
      <c r="J9" s="65"/>
      <c r="K9" s="67"/>
      <c r="L9" s="68"/>
      <c r="M9" s="69"/>
      <c r="N9" s="70"/>
      <c r="O9" s="71"/>
      <c r="P9" s="60"/>
    </row>
    <row r="10" spans="1:16" ht="18" customHeight="1">
      <c r="A10" s="72" t="str">
        <f>'予選 Ｐ'!A10</f>
        <v/>
      </c>
      <c r="B10" s="73" t="str">
        <f>IF('予選 Ｐ'!B10="","",'予選 Ｐ'!B10)</f>
        <v/>
      </c>
      <c r="C10" s="74" t="str">
        <f>'予選 Ｐ'!C10</f>
        <v/>
      </c>
      <c r="D10" s="17" t="str">
        <f>'予選 Ｐ'!E10</f>
        <v/>
      </c>
      <c r="E10" s="75" t="str">
        <f>'予選 Ｐ'!F10</f>
        <v/>
      </c>
      <c r="F10" s="76"/>
      <c r="G10" s="77"/>
      <c r="H10" s="77"/>
      <c r="I10" s="77"/>
      <c r="J10" s="77"/>
      <c r="K10" s="78"/>
      <c r="L10" s="79"/>
      <c r="M10" s="80"/>
      <c r="N10" s="81"/>
      <c r="O10" s="82"/>
      <c r="P10" s="60"/>
    </row>
    <row r="11" spans="1:16" s="83" customFormat="1" ht="10.5">
      <c r="D11" s="84"/>
      <c r="E11" s="85"/>
    </row>
    <row r="12" spans="1:16" s="1" customFormat="1">
      <c r="C12" s="18" t="s">
        <v>0</v>
      </c>
      <c r="D12" s="19" t="s">
        <v>16</v>
      </c>
      <c r="E12" s="20" t="s">
        <v>17</v>
      </c>
      <c r="F12" s="2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4" t="s">
        <v>5</v>
      </c>
    </row>
    <row r="13" spans="1:16" s="1" customFormat="1">
      <c r="A13" s="1">
        <v>1</v>
      </c>
      <c r="C13" s="21">
        <v>1</v>
      </c>
      <c r="D13" s="22" t="str">
        <f>IF(C13&gt;0,VLOOKUP(C13,C5:E10,2,FALSE),"")</f>
        <v>アレ　フェンシング</v>
      </c>
      <c r="E13" s="23" t="str">
        <f>IF(C13&gt;0,VLOOKUP(C13,C5:E10,3,FALSE),"")</f>
        <v>古市　颯希</v>
      </c>
      <c r="F13" s="5"/>
      <c r="G13" s="6"/>
      <c r="H13" s="6"/>
      <c r="I13" s="6"/>
      <c r="J13" s="6"/>
      <c r="K13" s="6"/>
      <c r="L13" s="6"/>
      <c r="M13" s="6"/>
      <c r="N13" s="6"/>
      <c r="O13" s="7"/>
    </row>
    <row r="14" spans="1:16" s="1" customFormat="1">
      <c r="C14" s="24">
        <f>IF(C10=6,2,IF(C9=5,2,IF(C8=4,4,IF(C7=3,3))))</f>
        <v>4</v>
      </c>
      <c r="D14" s="25" t="str">
        <f>IF(C14&gt;0,VLOOKUP(C14,C5:E10,2,FALSE),"")</f>
        <v>はしまモア</v>
      </c>
      <c r="E14" s="26" t="str">
        <f>IF(C14&gt;0,VLOOKUP(C14,C5:E10,3,FALSE),"")</f>
        <v>勝野　心空</v>
      </c>
      <c r="F14" s="8"/>
      <c r="G14" s="9"/>
      <c r="H14" s="9"/>
      <c r="I14" s="9"/>
      <c r="J14" s="9"/>
      <c r="K14" s="9"/>
      <c r="L14" s="9"/>
      <c r="M14" s="9"/>
      <c r="N14" s="9"/>
      <c r="O14" s="10"/>
    </row>
    <row r="15" spans="1:16" s="11" customFormat="1" ht="10.5">
      <c r="D15" s="27"/>
      <c r="E15" s="28"/>
    </row>
    <row r="16" spans="1:16" s="1" customFormat="1">
      <c r="A16" s="1">
        <v>2</v>
      </c>
      <c r="C16" s="21">
        <f>IF(C10=6,4,IF(C9=5,3,IF(C8=4,2,IF(C7=3,2))))</f>
        <v>2</v>
      </c>
      <c r="D16" s="22" t="str">
        <f>IF(C16&gt;0,VLOOKUP(C16,C5:E10,2,FALSE),"")</f>
        <v>滋賀ＪＦＣ</v>
      </c>
      <c r="E16" s="23" t="str">
        <f>IF(C16&gt;0,VLOOKUP(C16,C5:E10,3,FALSE),"")</f>
        <v>畑中　七葉</v>
      </c>
      <c r="F16" s="5"/>
      <c r="G16" s="6"/>
      <c r="H16" s="6"/>
      <c r="I16" s="6"/>
      <c r="J16" s="6"/>
      <c r="K16" s="6"/>
      <c r="L16" s="6"/>
      <c r="M16" s="6"/>
      <c r="N16" s="6"/>
      <c r="O16" s="7"/>
    </row>
    <row r="17" spans="1:15" s="1" customFormat="1">
      <c r="C17" s="24">
        <f>IF(C10=6,5,IF(C9=5,4,IF(C8=4,3,IF(C7=3,3))))</f>
        <v>3</v>
      </c>
      <c r="D17" s="25" t="str">
        <f>IF(C17&gt;0,VLOOKUP(C17,C5:E10,2,FALSE),"")</f>
        <v>はしまモア</v>
      </c>
      <c r="E17" s="26" t="str">
        <f>IF(C17&gt;0,VLOOKUP(C17,C5:E10,3,FALSE),"")</f>
        <v>杉山　妃埜</v>
      </c>
      <c r="F17" s="8"/>
      <c r="G17" s="9"/>
      <c r="H17" s="9"/>
      <c r="I17" s="9"/>
      <c r="J17" s="9"/>
      <c r="K17" s="9"/>
      <c r="L17" s="9"/>
      <c r="M17" s="9"/>
      <c r="N17" s="9"/>
      <c r="O17" s="10"/>
    </row>
    <row r="18" spans="1:15" s="11" customFormat="1" ht="10.5">
      <c r="D18" s="27"/>
      <c r="E18" s="28"/>
    </row>
    <row r="19" spans="1:15" s="1" customFormat="1">
      <c r="A19" s="1">
        <v>3</v>
      </c>
      <c r="C19" s="21">
        <f>IF(C10=6,2,IF(C9=5,5,IF(C8=4,1,IF(C7=3,1))))</f>
        <v>1</v>
      </c>
      <c r="D19" s="22" t="str">
        <f>IF(C19&gt;0,VLOOKUP(C19,C5:E10,2,FALSE),"")</f>
        <v>アレ　フェンシング</v>
      </c>
      <c r="E19" s="23" t="str">
        <f>IF(C19&gt;0,VLOOKUP(C19,C5:E10,3,FALSE),"")</f>
        <v>古市　颯希</v>
      </c>
      <c r="F19" s="5"/>
      <c r="G19" s="6"/>
      <c r="H19" s="6"/>
      <c r="I19" s="6"/>
      <c r="J19" s="6"/>
      <c r="K19" s="6"/>
      <c r="L19" s="6"/>
      <c r="M19" s="6"/>
      <c r="N19" s="6"/>
      <c r="O19" s="7"/>
    </row>
    <row r="20" spans="1:15" s="1" customFormat="1">
      <c r="C20" s="24">
        <f>IF(C10=6,3,IF(C9=5,1,IF(C8=4,3,IF(C7=3,2))))</f>
        <v>3</v>
      </c>
      <c r="D20" s="25" t="str">
        <f>IF(C20&gt;0,VLOOKUP(C20,C5:E10,2,FALSE),"")</f>
        <v>はしまモア</v>
      </c>
      <c r="E20" s="26" t="str">
        <f>IF(C20&gt;0,VLOOKUP(C20,C5:E10,3,FALSE),"")</f>
        <v>杉山　妃埜</v>
      </c>
      <c r="F20" s="8"/>
      <c r="G20" s="9"/>
      <c r="H20" s="9"/>
      <c r="I20" s="9"/>
      <c r="J20" s="9"/>
      <c r="K20" s="9"/>
      <c r="L20" s="9"/>
      <c r="M20" s="9"/>
      <c r="N20" s="9"/>
      <c r="O20" s="10"/>
    </row>
    <row r="21" spans="1:15" s="11" customFormat="1" ht="10.5">
      <c r="C21" s="29"/>
      <c r="D21" s="30"/>
      <c r="E21" s="31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s="1" customFormat="1">
      <c r="A22" s="1">
        <v>4</v>
      </c>
      <c r="C22" s="21">
        <f>IF(C10=6,5,IF(C9=5,2,IF(C8=4,2,IF(C7=3,0,0))))</f>
        <v>2</v>
      </c>
      <c r="D22" s="22" t="str">
        <f>IF(C22&gt;0,VLOOKUP(C22,C5:E10,2,FALSE),"")</f>
        <v>滋賀ＪＦＣ</v>
      </c>
      <c r="E22" s="23" t="str">
        <f>IF(C22&gt;0,VLOOKUP(C22,C5:E10,3,FALSE),"")</f>
        <v>畑中　七葉</v>
      </c>
      <c r="F22" s="5"/>
      <c r="G22" s="6"/>
      <c r="H22" s="6"/>
      <c r="I22" s="6"/>
      <c r="J22" s="6"/>
      <c r="K22" s="6"/>
      <c r="L22" s="6"/>
      <c r="M22" s="6"/>
      <c r="N22" s="6"/>
      <c r="O22" s="7"/>
    </row>
    <row r="23" spans="1:15" s="1" customFormat="1">
      <c r="C23" s="24">
        <f>IF(C10=6,6,IF(C9=5,3,IF(C8=4,4,IF(C7=3,0,0))))</f>
        <v>4</v>
      </c>
      <c r="D23" s="25" t="str">
        <f>IF(C23&gt;0,VLOOKUP(C23,C5:E10,2,FALSE),"")</f>
        <v>はしまモア</v>
      </c>
      <c r="E23" s="26" t="str">
        <f>IF(C23&gt;0,VLOOKUP(C23,C5:E10,3,FALSE),"")</f>
        <v>勝野　心空</v>
      </c>
      <c r="F23" s="8"/>
      <c r="G23" s="9"/>
      <c r="H23" s="9"/>
      <c r="I23" s="9"/>
      <c r="J23" s="9"/>
      <c r="K23" s="9"/>
      <c r="L23" s="9"/>
      <c r="M23" s="9"/>
      <c r="N23" s="9"/>
      <c r="O23" s="10"/>
    </row>
    <row r="24" spans="1:15" s="11" customFormat="1" ht="10.5">
      <c r="C24" s="29"/>
      <c r="D24" s="30"/>
      <c r="E24" s="31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s="1" customFormat="1">
      <c r="A25" s="1">
        <v>5</v>
      </c>
      <c r="C25" s="21">
        <f>IF(C10=6,3,IF(C9=5,5,IF(C8=4,3,IF(C7=3,0,0))))</f>
        <v>3</v>
      </c>
      <c r="D25" s="22" t="str">
        <f>IF(C25&gt;0,VLOOKUP(C25,C5:E10,2,FALSE),"")</f>
        <v>はしまモア</v>
      </c>
      <c r="E25" s="23" t="str">
        <f>IF(C25&gt;0,VLOOKUP(C25,C5:E10,3,FALSE),"")</f>
        <v>杉山　妃埜</v>
      </c>
      <c r="F25" s="5"/>
      <c r="G25" s="6"/>
      <c r="H25" s="6"/>
      <c r="I25" s="6"/>
      <c r="J25" s="6"/>
      <c r="K25" s="6"/>
      <c r="L25" s="6"/>
      <c r="M25" s="6"/>
      <c r="N25" s="6"/>
      <c r="O25" s="7"/>
    </row>
    <row r="26" spans="1:15" s="1" customFormat="1">
      <c r="C26" s="24">
        <f>IF(C10=6,1,IF(C9=5,4,IF(C8=4,4,IF(C7=3,0,0))))</f>
        <v>4</v>
      </c>
      <c r="D26" s="25" t="str">
        <f>IF(C26&gt;0,VLOOKUP(C26,C5:E10,2,FALSE),"")</f>
        <v>はしまモア</v>
      </c>
      <c r="E26" s="26" t="str">
        <f>IF(C26&gt;0,VLOOKUP(C26,C5:E10,3,FALSE),"")</f>
        <v>勝野　心空</v>
      </c>
      <c r="F26" s="8"/>
      <c r="G26" s="9"/>
      <c r="H26" s="9"/>
      <c r="I26" s="9"/>
      <c r="J26" s="9"/>
      <c r="K26" s="9"/>
      <c r="L26" s="9"/>
      <c r="M26" s="9"/>
      <c r="N26" s="9"/>
      <c r="O26" s="10"/>
    </row>
    <row r="27" spans="1:15" s="11" customFormat="1" ht="10.5">
      <c r="C27" s="29"/>
      <c r="D27" s="30"/>
      <c r="E27" s="31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1:15" s="1" customFormat="1">
      <c r="A28" s="1">
        <v>6</v>
      </c>
      <c r="C28" s="21">
        <f>IF(C10=6,6,IF(C9=5,1,IF(C8=4,1,IF(C7=3,0,0))))</f>
        <v>1</v>
      </c>
      <c r="D28" s="22" t="str">
        <f>IF(C28&gt;0,VLOOKUP(C28,C5:E10,2,FALSE),"")</f>
        <v>アレ　フェンシング</v>
      </c>
      <c r="E28" s="23" t="str">
        <f>IF(C28&gt;0,VLOOKUP(C28,C5:E10,3,FALSE),"")</f>
        <v>古市　颯希</v>
      </c>
      <c r="F28" s="5"/>
      <c r="G28" s="6"/>
      <c r="H28" s="6"/>
      <c r="I28" s="6"/>
      <c r="J28" s="6"/>
      <c r="K28" s="6"/>
      <c r="L28" s="6"/>
      <c r="M28" s="6"/>
      <c r="N28" s="6"/>
      <c r="O28" s="7"/>
    </row>
    <row r="29" spans="1:15" s="1" customFormat="1">
      <c r="C29" s="24">
        <f>IF(C10=6,4,IF(C9=5,3,IF(C8=4,2,IF(C7=3,0,0))))</f>
        <v>2</v>
      </c>
      <c r="D29" s="25" t="str">
        <f>IF(C29&gt;0,VLOOKUP(C29,C5:E10,2,FALSE),"")</f>
        <v>滋賀ＪＦＣ</v>
      </c>
      <c r="E29" s="26" t="str">
        <f>IF(C29&gt;0,VLOOKUP(C29,C5:E10,3,FALSE),"")</f>
        <v>畑中　七葉</v>
      </c>
      <c r="F29" s="8"/>
      <c r="G29" s="9"/>
      <c r="H29" s="9"/>
      <c r="I29" s="9"/>
      <c r="J29" s="9"/>
      <c r="K29" s="9"/>
      <c r="L29" s="9"/>
      <c r="M29" s="9"/>
      <c r="N29" s="9"/>
      <c r="O29" s="10"/>
    </row>
    <row r="30" spans="1:15" s="11" customFormat="1" ht="10.5">
      <c r="C30" s="29"/>
      <c r="D30" s="30"/>
      <c r="E30" s="31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s="1" customFormat="1">
      <c r="A31" s="1">
        <v>7</v>
      </c>
      <c r="C31" s="21">
        <f>IF(C10=6,2,IF(C9=5,2,IF(C8=4,0,0)))</f>
        <v>0</v>
      </c>
      <c r="D31" s="22" t="str">
        <f>IF(C31&gt;0,VLOOKUP(C31,C5:E10,2,FALSE),"")</f>
        <v/>
      </c>
      <c r="E31" s="23" t="str">
        <f>IF(C31&gt;0,VLOOKUP(C31,C5:E10,3,FALSE),"")</f>
        <v/>
      </c>
      <c r="F31" s="5"/>
      <c r="G31" s="6"/>
      <c r="H31" s="6"/>
      <c r="I31" s="6"/>
      <c r="J31" s="6"/>
      <c r="K31" s="6"/>
      <c r="L31" s="6"/>
      <c r="M31" s="6"/>
      <c r="N31" s="6"/>
      <c r="O31" s="7"/>
    </row>
    <row r="32" spans="1:15" s="1" customFormat="1">
      <c r="C32" s="24">
        <f>IF(C10=6,5,IF(C9=5,5,IF(C8=4,0,0)))</f>
        <v>0</v>
      </c>
      <c r="D32" s="25" t="str">
        <f>IF(C32&gt;0,VLOOKUP(C32,C5:E10,2,FALSE),"")</f>
        <v/>
      </c>
      <c r="E32" s="26" t="str">
        <f>IF(C32&gt;0,VLOOKUP(C32,C5:E10,3,FALSE),"")</f>
        <v/>
      </c>
      <c r="F32" s="8"/>
      <c r="G32" s="9"/>
      <c r="H32" s="9"/>
      <c r="I32" s="9"/>
      <c r="J32" s="9"/>
      <c r="K32" s="9"/>
      <c r="L32" s="9"/>
      <c r="M32" s="9"/>
      <c r="N32" s="9"/>
      <c r="O32" s="10"/>
    </row>
    <row r="33" spans="1:15" s="11" customFormat="1" ht="10.5">
      <c r="C33" s="29"/>
      <c r="D33" s="30"/>
      <c r="E33" s="31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s="1" customFormat="1">
      <c r="A34" s="1">
        <v>8</v>
      </c>
      <c r="C34" s="21">
        <f>IF(C10=6,1,IF(C9=5,4,IF(C8=4,0,0)))</f>
        <v>0</v>
      </c>
      <c r="D34" s="22" t="str">
        <f>IF(C34&gt;0,VLOOKUP(C34,C5:E10,2,FALSE),"")</f>
        <v/>
      </c>
      <c r="E34" s="23" t="str">
        <f>IF(C34&gt;0,VLOOKUP(C34,C5:E10,3,FALSE),"")</f>
        <v/>
      </c>
      <c r="F34" s="5"/>
      <c r="G34" s="6"/>
      <c r="H34" s="6"/>
      <c r="I34" s="6"/>
      <c r="J34" s="6"/>
      <c r="K34" s="6"/>
      <c r="L34" s="6"/>
      <c r="M34" s="6"/>
      <c r="N34" s="6"/>
      <c r="O34" s="7"/>
    </row>
    <row r="35" spans="1:15" s="1" customFormat="1">
      <c r="C35" s="24">
        <f>IF(C10=6,4,IF(C9=5,1,IF(C8=4,0,0)))</f>
        <v>0</v>
      </c>
      <c r="D35" s="25" t="str">
        <f>IF(C35&gt;0,VLOOKUP(C35,C5:E10,2,FALSE),"")</f>
        <v/>
      </c>
      <c r="E35" s="26" t="str">
        <f>IF(C35&gt;0,VLOOKUP(C35,C5:E10,3,FALSE),"")</f>
        <v/>
      </c>
      <c r="F35" s="8"/>
      <c r="G35" s="9"/>
      <c r="H35" s="9"/>
      <c r="I35" s="9"/>
      <c r="J35" s="9"/>
      <c r="K35" s="9"/>
      <c r="L35" s="9"/>
      <c r="M35" s="9"/>
      <c r="N35" s="9"/>
      <c r="O35" s="10"/>
    </row>
    <row r="36" spans="1:15" s="11" customFormat="1" ht="10.5">
      <c r="C36" s="29"/>
      <c r="D36" s="30"/>
      <c r="E36" s="31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1:15" s="1" customFormat="1">
      <c r="A37" s="1">
        <v>9</v>
      </c>
      <c r="C37" s="21">
        <f>IF(C10=6,5,IF(C9=5,3,IF(C8=4,0,0)))</f>
        <v>0</v>
      </c>
      <c r="D37" s="22" t="str">
        <f>IF(C37&gt;0,VLOOKUP(C37,C5:E10,2,FALSE),"")</f>
        <v/>
      </c>
      <c r="E37" s="23" t="str">
        <f>IF(C37&gt;0,VLOOKUP(C37,C5:E10,3,FALSE),"")</f>
        <v/>
      </c>
      <c r="F37" s="5"/>
      <c r="G37" s="6"/>
      <c r="H37" s="6"/>
      <c r="I37" s="6"/>
      <c r="J37" s="6"/>
      <c r="K37" s="6"/>
      <c r="L37" s="6"/>
      <c r="M37" s="6"/>
      <c r="N37" s="6"/>
      <c r="O37" s="7"/>
    </row>
    <row r="38" spans="1:15" s="1" customFormat="1">
      <c r="C38" s="24">
        <f>IF(C10=6,3,IF(C9=5,5,IF(C8=4,0,0)))</f>
        <v>0</v>
      </c>
      <c r="D38" s="25" t="str">
        <f>IF(C38&gt;0,VLOOKUP(C38,C5:E10,2,FALSE),"")</f>
        <v/>
      </c>
      <c r="E38" s="26" t="str">
        <f>IF(C38&gt;0,VLOOKUP(C38,C5:E10,3,FALSE),"")</f>
        <v/>
      </c>
      <c r="F38" s="8"/>
      <c r="G38" s="9"/>
      <c r="H38" s="9"/>
      <c r="I38" s="9"/>
      <c r="J38" s="9"/>
      <c r="K38" s="9"/>
      <c r="L38" s="9"/>
      <c r="M38" s="9"/>
      <c r="N38" s="9"/>
      <c r="O38" s="10"/>
    </row>
    <row r="39" spans="1:15" s="11" customFormat="1" ht="10.5">
      <c r="C39" s="29"/>
      <c r="D39" s="30"/>
      <c r="E39" s="31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 s="1" customFormat="1">
      <c r="A40" s="1">
        <v>10</v>
      </c>
      <c r="C40" s="21">
        <f>IF(C10=6,1,IF(C9=5,4,IF(C8=4,0,0)))</f>
        <v>0</v>
      </c>
      <c r="D40" s="22" t="str">
        <f>IF(C40&gt;0,VLOOKUP(C40,C5:E10,2,FALSE),"")</f>
        <v/>
      </c>
      <c r="E40" s="23" t="str">
        <f>IF(C40&gt;0,VLOOKUP(C40,C5:E10,3,FALSE),"")</f>
        <v/>
      </c>
      <c r="F40" s="5"/>
      <c r="G40" s="6"/>
      <c r="H40" s="6"/>
      <c r="I40" s="6"/>
      <c r="J40" s="6"/>
      <c r="K40" s="6"/>
      <c r="L40" s="6"/>
      <c r="M40" s="6"/>
      <c r="N40" s="6"/>
      <c r="O40" s="7"/>
    </row>
    <row r="41" spans="1:15" s="1" customFormat="1">
      <c r="C41" s="24">
        <f>IF(C10=6,6,IF(C9=5,2,IF(C8=4,0,0)))</f>
        <v>0</v>
      </c>
      <c r="D41" s="25" t="str">
        <f>IF(C41&gt;0,VLOOKUP(C41,C5:E10,2,FALSE),"")</f>
        <v/>
      </c>
      <c r="E41" s="26" t="str">
        <f>IF(C41&gt;0,VLOOKUP(C41,C5:E10,3,FALSE),"")</f>
        <v/>
      </c>
      <c r="F41" s="8"/>
      <c r="G41" s="9"/>
      <c r="H41" s="9"/>
      <c r="I41" s="9"/>
      <c r="J41" s="9"/>
      <c r="K41" s="9"/>
      <c r="L41" s="9"/>
      <c r="M41" s="9"/>
      <c r="N41" s="9"/>
      <c r="O41" s="10"/>
    </row>
    <row r="42" spans="1:15" s="11" customFormat="1" ht="10.5">
      <c r="C42" s="29"/>
      <c r="D42" s="30"/>
      <c r="E42" s="31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1:15" s="1" customFormat="1">
      <c r="A43" s="1">
        <v>11</v>
      </c>
      <c r="C43" s="21">
        <f>IF(C10=6,4,0)</f>
        <v>0</v>
      </c>
      <c r="D43" s="22" t="str">
        <f>IF(C43&gt;0,VLOOKUP(C43,C5:E10,2,FALSE),"")</f>
        <v/>
      </c>
      <c r="E43" s="23" t="str">
        <f>IF(C43&gt;0,VLOOKUP(C43,C5:E10,3,FALSE),"")</f>
        <v/>
      </c>
      <c r="F43" s="5"/>
      <c r="G43" s="6"/>
      <c r="H43" s="6"/>
      <c r="I43" s="6"/>
      <c r="J43" s="6"/>
      <c r="K43" s="6"/>
      <c r="L43" s="6"/>
      <c r="M43" s="6"/>
      <c r="N43" s="6"/>
      <c r="O43" s="7"/>
    </row>
    <row r="44" spans="1:15" s="1" customFormat="1">
      <c r="C44" s="24">
        <f>IF(C10=6,2,0)</f>
        <v>0</v>
      </c>
      <c r="D44" s="25" t="str">
        <f>IF(C44&gt;0,VLOOKUP(C44,C5:E10,2,FALSE),"")</f>
        <v/>
      </c>
      <c r="E44" s="26" t="str">
        <f>IF(C44&gt;0,VLOOKUP(C44,C5:E10,3,FALSE),"")</f>
        <v/>
      </c>
      <c r="F44" s="8"/>
      <c r="G44" s="9"/>
      <c r="H44" s="9"/>
      <c r="I44" s="9"/>
      <c r="J44" s="9"/>
      <c r="K44" s="9"/>
      <c r="L44" s="9"/>
      <c r="M44" s="9"/>
      <c r="N44" s="9"/>
      <c r="O44" s="10"/>
    </row>
    <row r="45" spans="1:15" s="11" customFormat="1" ht="10.5">
      <c r="C45" s="29"/>
      <c r="D45" s="30"/>
      <c r="E45" s="31"/>
      <c r="F45" s="12"/>
      <c r="G45" s="12"/>
      <c r="H45" s="12"/>
      <c r="I45" s="12"/>
      <c r="J45" s="12"/>
      <c r="K45" s="12"/>
      <c r="L45" s="12"/>
      <c r="M45" s="12"/>
      <c r="N45" s="12"/>
      <c r="O45" s="13"/>
    </row>
    <row r="46" spans="1:15" s="1" customFormat="1">
      <c r="A46" s="1">
        <v>12</v>
      </c>
      <c r="C46" s="21">
        <f>IF(C10=6,3,0)</f>
        <v>0</v>
      </c>
      <c r="D46" s="22" t="str">
        <f>IF(C46&gt;0,VLOOKUP(C46,C5:E10,2,FALSE),"")</f>
        <v/>
      </c>
      <c r="E46" s="23" t="str">
        <f>IF(C46&gt;0,VLOOKUP(C46,C5:E10,3,FALSE),"")</f>
        <v/>
      </c>
      <c r="F46" s="5"/>
      <c r="G46" s="6"/>
      <c r="H46" s="6"/>
      <c r="I46" s="6"/>
      <c r="J46" s="6"/>
      <c r="K46" s="6"/>
      <c r="L46" s="6"/>
      <c r="M46" s="6"/>
      <c r="N46" s="6"/>
      <c r="O46" s="7"/>
    </row>
    <row r="47" spans="1:15" s="1" customFormat="1" ht="13.5" customHeight="1">
      <c r="C47" s="24">
        <f>IF(C10=6,6,0)</f>
        <v>0</v>
      </c>
      <c r="D47" s="25" t="str">
        <f>IF(C47&gt;0,VLOOKUP(C47,C5:E10,2,FALSE),"")</f>
        <v/>
      </c>
      <c r="E47" s="26" t="str">
        <f>IF(C47&gt;0,VLOOKUP(C47,C5:E10,3,FALSE),"")</f>
        <v/>
      </c>
      <c r="F47" s="8"/>
      <c r="G47" s="9"/>
      <c r="H47" s="9"/>
      <c r="I47" s="9"/>
      <c r="J47" s="9"/>
      <c r="K47" s="9"/>
      <c r="L47" s="9"/>
      <c r="M47" s="9"/>
      <c r="N47" s="9"/>
      <c r="O47" s="10"/>
    </row>
    <row r="48" spans="1:15" s="11" customFormat="1" ht="10.5">
      <c r="C48" s="29"/>
      <c r="D48" s="30"/>
      <c r="E48" s="31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1:16" s="1" customFormat="1">
      <c r="A49" s="1">
        <v>13</v>
      </c>
      <c r="C49" s="21">
        <f>IF(C10=6,5,0)</f>
        <v>0</v>
      </c>
      <c r="D49" s="22" t="str">
        <f>IF(C49&gt;0,VLOOKUP(C49,C5:E10,2,FALSE),"")</f>
        <v/>
      </c>
      <c r="E49" s="23" t="str">
        <f>IF(C49&gt;0,VLOOKUP(C49,C5:E10,3,FALSE),"")</f>
        <v/>
      </c>
      <c r="F49" s="5"/>
      <c r="G49" s="6"/>
      <c r="H49" s="6"/>
      <c r="I49" s="6"/>
      <c r="J49" s="6"/>
      <c r="K49" s="6"/>
      <c r="L49" s="6"/>
      <c r="M49" s="6"/>
      <c r="N49" s="6"/>
      <c r="O49" s="7"/>
    </row>
    <row r="50" spans="1:16" s="1" customFormat="1">
      <c r="C50" s="24">
        <f>IF(C10=6,1,0)</f>
        <v>0</v>
      </c>
      <c r="D50" s="25" t="str">
        <f>IF(C50&gt;0,VLOOKUP(C50,C5:E10,2,FALSE),"")</f>
        <v/>
      </c>
      <c r="E50" s="26" t="str">
        <f>IF(C50&gt;0,VLOOKUP(C50,C5:E10,3,FALSE),"")</f>
        <v/>
      </c>
      <c r="F50" s="8"/>
      <c r="G50" s="9"/>
      <c r="H50" s="9"/>
      <c r="I50" s="9"/>
      <c r="J50" s="9"/>
      <c r="K50" s="9"/>
      <c r="L50" s="9"/>
      <c r="M50" s="9"/>
      <c r="N50" s="9"/>
      <c r="O50" s="10"/>
    </row>
    <row r="51" spans="1:16" s="11" customFormat="1" ht="10.5">
      <c r="C51" s="29"/>
      <c r="D51" s="30"/>
      <c r="E51" s="31"/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spans="1:16" s="1" customFormat="1">
      <c r="A52" s="1">
        <v>14</v>
      </c>
      <c r="C52" s="21">
        <f>IF(C10=6,3,0)</f>
        <v>0</v>
      </c>
      <c r="D52" s="22" t="str">
        <f>IF(C52&gt;0,VLOOKUP(C52,C5:E10,2,FALSE),"")</f>
        <v/>
      </c>
      <c r="E52" s="23" t="str">
        <f>IF(C52&gt;0,VLOOKUP(C52,C5:E10,3,FALSE),"")</f>
        <v/>
      </c>
      <c r="F52" s="5"/>
      <c r="G52" s="6"/>
      <c r="H52" s="6"/>
      <c r="I52" s="6"/>
      <c r="J52" s="6"/>
      <c r="K52" s="6"/>
      <c r="L52" s="6"/>
      <c r="M52" s="6"/>
      <c r="N52" s="6"/>
      <c r="O52" s="7"/>
    </row>
    <row r="53" spans="1:16" s="1" customFormat="1">
      <c r="C53" s="24">
        <f>IF(C10=6,4,0)</f>
        <v>0</v>
      </c>
      <c r="D53" s="25" t="str">
        <f>IF(C53&gt;0,VLOOKUP(C53,C5:E10,2,FALSE),"")</f>
        <v/>
      </c>
      <c r="E53" s="26" t="str">
        <f>IF(C53&gt;0,VLOOKUP(C53,C5:E10,3,FALSE),"")</f>
        <v/>
      </c>
      <c r="F53" s="8"/>
      <c r="G53" s="9"/>
      <c r="H53" s="9"/>
      <c r="I53" s="9"/>
      <c r="J53" s="9"/>
      <c r="K53" s="9"/>
      <c r="L53" s="9"/>
      <c r="M53" s="9"/>
      <c r="N53" s="9"/>
      <c r="O53" s="10"/>
    </row>
    <row r="54" spans="1:16" s="11" customFormat="1" ht="10.5">
      <c r="C54" s="29"/>
      <c r="D54" s="30"/>
      <c r="E54" s="31"/>
      <c r="F54" s="12"/>
      <c r="G54" s="12"/>
      <c r="H54" s="12"/>
      <c r="I54" s="12"/>
      <c r="J54" s="12"/>
      <c r="K54" s="12"/>
      <c r="L54" s="12"/>
      <c r="M54" s="12"/>
      <c r="N54" s="12"/>
      <c r="O54" s="13"/>
    </row>
    <row r="55" spans="1:16" s="1" customFormat="1">
      <c r="A55" s="1">
        <v>15</v>
      </c>
      <c r="C55" s="21">
        <f>IF(C10=6,6,0)</f>
        <v>0</v>
      </c>
      <c r="D55" s="22" t="str">
        <f>IF(C55&gt;0,VLOOKUP(C55,C5:E10,2,FALSE),"")</f>
        <v/>
      </c>
      <c r="E55" s="23" t="str">
        <f>IF(C55&gt;0,VLOOKUP(C55,C5:E10,3,FALSE),"")</f>
        <v/>
      </c>
      <c r="F55" s="5"/>
      <c r="G55" s="6"/>
      <c r="H55" s="6"/>
      <c r="I55" s="6"/>
      <c r="J55" s="6"/>
      <c r="K55" s="6"/>
      <c r="L55" s="6"/>
      <c r="M55" s="6"/>
      <c r="N55" s="6"/>
      <c r="O55" s="7"/>
    </row>
    <row r="56" spans="1:16" s="1" customFormat="1">
      <c r="C56" s="24">
        <f>IF(C10=6,2,0)</f>
        <v>0</v>
      </c>
      <c r="D56" s="25" t="str">
        <f>IF(C56&gt;0,VLOOKUP(C56,C5:E10,2,FALSE),"")</f>
        <v/>
      </c>
      <c r="E56" s="26" t="str">
        <f>IF(C56&gt;0,VLOOKUP(C56,C5:E10,3,FALSE),"")</f>
        <v/>
      </c>
      <c r="F56" s="8"/>
      <c r="G56" s="9"/>
      <c r="H56" s="9"/>
      <c r="I56" s="9"/>
      <c r="J56" s="9"/>
      <c r="K56" s="9"/>
      <c r="L56" s="9"/>
      <c r="M56" s="9"/>
      <c r="N56" s="9"/>
      <c r="O56" s="10"/>
    </row>
    <row r="57" spans="1:16" s="83" customFormat="1" ht="10.5">
      <c r="C57" s="86"/>
      <c r="D57" s="32"/>
      <c r="E57" s="33"/>
      <c r="F57" s="87"/>
      <c r="G57" s="87"/>
      <c r="H57" s="87"/>
      <c r="I57" s="87"/>
      <c r="J57" s="87"/>
      <c r="K57" s="87"/>
      <c r="L57" s="87"/>
      <c r="M57" s="87"/>
      <c r="N57" s="87"/>
      <c r="O57" s="88"/>
    </row>
    <row r="58" spans="1:16" s="36" customFormat="1" ht="17.25">
      <c r="A58" s="278" t="str">
        <f>名簿!$A$1</f>
        <v>第9回川本杯はしまモアフェンシング大会</v>
      </c>
      <c r="B58" s="278"/>
      <c r="C58" s="278"/>
      <c r="D58" s="278"/>
      <c r="E58" s="278"/>
      <c r="F58" s="278"/>
      <c r="G58" s="278"/>
      <c r="H58" s="278"/>
      <c r="I58" s="278"/>
      <c r="J58" s="279"/>
      <c r="K58" s="227" t="s">
        <v>53</v>
      </c>
      <c r="L58" s="272" t="s">
        <v>54</v>
      </c>
      <c r="M58" s="272"/>
      <c r="N58" s="272"/>
      <c r="O58" s="273"/>
    </row>
    <row r="59" spans="1:16" s="37" customFormat="1" ht="14.25">
      <c r="A59" s="276" t="str">
        <f>"　"&amp;名簿!$A$2</f>
        <v>　小学1-3年女子</v>
      </c>
      <c r="B59" s="276"/>
      <c r="C59" s="276"/>
      <c r="D59" s="276"/>
      <c r="E59" s="276"/>
      <c r="F59" s="276"/>
      <c r="G59" s="276"/>
      <c r="H59" s="276"/>
      <c r="I59" s="276"/>
      <c r="J59" s="277"/>
      <c r="K59" s="228"/>
      <c r="L59" s="274" t="s">
        <v>55</v>
      </c>
      <c r="M59" s="274"/>
      <c r="N59" s="274"/>
      <c r="O59" s="275"/>
    </row>
    <row r="60" spans="1:16" s="37" customFormat="1" ht="14.25">
      <c r="A60" s="268" t="str">
        <f>"　　"&amp;名簿!$A$3</f>
        <v>　　1回戦</v>
      </c>
      <c r="B60" s="268"/>
      <c r="C60" s="268"/>
      <c r="D60" s="268"/>
      <c r="E60" s="268"/>
      <c r="K60" s="269">
        <f>名簿!$E$3</f>
        <v>43184</v>
      </c>
      <c r="L60" s="269"/>
      <c r="M60" s="269"/>
      <c r="N60" s="269"/>
      <c r="O60" s="269"/>
    </row>
    <row r="61" spans="1:16">
      <c r="A61" s="38" t="s">
        <v>36</v>
      </c>
      <c r="B61" s="39" t="s">
        <v>13</v>
      </c>
      <c r="C61" s="40" t="s">
        <v>0</v>
      </c>
      <c r="D61" s="41" t="s">
        <v>7</v>
      </c>
      <c r="E61" s="42" t="s">
        <v>8</v>
      </c>
      <c r="F61" s="43">
        <v>1</v>
      </c>
      <c r="G61" s="44">
        <v>2</v>
      </c>
      <c r="H61" s="44">
        <v>3</v>
      </c>
      <c r="I61" s="44">
        <v>4</v>
      </c>
      <c r="J61" s="44">
        <v>5</v>
      </c>
      <c r="K61" s="45">
        <v>6</v>
      </c>
      <c r="L61" s="46" t="s">
        <v>37</v>
      </c>
      <c r="M61" s="47" t="s">
        <v>38</v>
      </c>
      <c r="N61" s="270" t="s">
        <v>6</v>
      </c>
      <c r="O61" s="271"/>
      <c r="P61" s="48"/>
    </row>
    <row r="62" spans="1:16" ht="18" customHeight="1">
      <c r="A62" s="50">
        <f>'予選 Ｐ'!A11</f>
        <v>2</v>
      </c>
      <c r="B62" s="51">
        <f>'予選 Ｐ'!B11</f>
        <v>2</v>
      </c>
      <c r="C62" s="52">
        <f>'予選 Ｐ'!C11</f>
        <v>1</v>
      </c>
      <c r="D62" s="14" t="str">
        <f>'予選 Ｐ'!E11</f>
        <v>京都フューチャー</v>
      </c>
      <c r="E62" s="15" t="str">
        <f>'予選 Ｐ'!F11</f>
        <v>田中　うの</v>
      </c>
      <c r="F62" s="53"/>
      <c r="G62" s="54"/>
      <c r="H62" s="54"/>
      <c r="I62" s="54"/>
      <c r="J62" s="54"/>
      <c r="K62" s="55"/>
      <c r="L62" s="56"/>
      <c r="M62" s="57"/>
      <c r="N62" s="58"/>
      <c r="O62" s="59"/>
      <c r="P62" s="60"/>
    </row>
    <row r="63" spans="1:16" ht="18" customHeight="1">
      <c r="A63" s="61">
        <f>'予選 Ｐ'!A12</f>
        <v>2</v>
      </c>
      <c r="B63" s="62">
        <f>'予選 Ｐ'!B12</f>
        <v>8</v>
      </c>
      <c r="C63" s="63">
        <f>'予選 Ｐ'!C12</f>
        <v>2</v>
      </c>
      <c r="D63" s="16" t="str">
        <f>'予選 Ｐ'!E12</f>
        <v>武生ＪＦＣ</v>
      </c>
      <c r="E63" s="15" t="str">
        <f>'予選 Ｐ'!F12</f>
        <v>矢部　結愛</v>
      </c>
      <c r="F63" s="64"/>
      <c r="G63" s="65"/>
      <c r="H63" s="66"/>
      <c r="I63" s="66"/>
      <c r="J63" s="66"/>
      <c r="K63" s="67"/>
      <c r="L63" s="68"/>
      <c r="M63" s="69"/>
      <c r="N63" s="70"/>
      <c r="O63" s="71"/>
      <c r="P63" s="60"/>
    </row>
    <row r="64" spans="1:16" ht="18" customHeight="1">
      <c r="A64" s="61">
        <f>'予選 Ｐ'!A13</f>
        <v>2</v>
      </c>
      <c r="B64" s="62">
        <f>'予選 Ｐ'!B13</f>
        <v>10</v>
      </c>
      <c r="C64" s="63">
        <f>'予選 Ｐ'!C13</f>
        <v>3</v>
      </c>
      <c r="D64" s="16" t="str">
        <f>'予選 Ｐ'!E13</f>
        <v>養老ＦＣ</v>
      </c>
      <c r="E64" s="15" t="str">
        <f>'予選 Ｐ'!F13</f>
        <v>伊東　愛苺</v>
      </c>
      <c r="F64" s="64"/>
      <c r="G64" s="66"/>
      <c r="H64" s="65"/>
      <c r="I64" s="66"/>
      <c r="J64" s="66"/>
      <c r="K64" s="67"/>
      <c r="L64" s="68"/>
      <c r="M64" s="69"/>
      <c r="N64" s="70"/>
      <c r="O64" s="71"/>
      <c r="P64" s="60"/>
    </row>
    <row r="65" spans="1:16" ht="18" customHeight="1">
      <c r="A65" s="61">
        <f>'予選 Ｐ'!A14</f>
        <v>2</v>
      </c>
      <c r="B65" s="62">
        <f>IF('予選 Ｐ'!B14="","",'予選 Ｐ'!B14)</f>
        <v>15</v>
      </c>
      <c r="C65" s="63">
        <f>'予選 Ｐ'!C14</f>
        <v>4</v>
      </c>
      <c r="D65" s="16" t="str">
        <f>'予選 Ｐ'!E14</f>
        <v>はしまモア</v>
      </c>
      <c r="E65" s="15" t="str">
        <f>'予選 Ｐ'!F14</f>
        <v>山田　椛暖</v>
      </c>
      <c r="F65" s="64"/>
      <c r="G65" s="66"/>
      <c r="H65" s="66"/>
      <c r="I65" s="65"/>
      <c r="J65" s="66"/>
      <c r="K65" s="67"/>
      <c r="L65" s="68"/>
      <c r="M65" s="69"/>
      <c r="N65" s="70"/>
      <c r="O65" s="71"/>
      <c r="P65" s="60"/>
    </row>
    <row r="66" spans="1:16" ht="18" customHeight="1">
      <c r="A66" s="61" t="str">
        <f>'予選 Ｐ'!A15</f>
        <v/>
      </c>
      <c r="B66" s="62" t="str">
        <f>IF('予選 Ｐ'!B15="","",'予選 Ｐ'!B15)</f>
        <v/>
      </c>
      <c r="C66" s="63" t="str">
        <f>'予選 Ｐ'!C15</f>
        <v/>
      </c>
      <c r="D66" s="16" t="str">
        <f>'予選 Ｐ'!E15</f>
        <v/>
      </c>
      <c r="E66" s="15" t="str">
        <f>'予選 Ｐ'!F15</f>
        <v/>
      </c>
      <c r="F66" s="64"/>
      <c r="G66" s="66"/>
      <c r="H66" s="66"/>
      <c r="I66" s="66"/>
      <c r="J66" s="65"/>
      <c r="K66" s="67"/>
      <c r="L66" s="68"/>
      <c r="M66" s="69"/>
      <c r="N66" s="70"/>
      <c r="O66" s="71"/>
      <c r="P66" s="60"/>
    </row>
    <row r="67" spans="1:16" ht="18" customHeight="1">
      <c r="A67" s="72" t="str">
        <f>'予選 Ｐ'!A16</f>
        <v/>
      </c>
      <c r="B67" s="73" t="str">
        <f>IF('予選 Ｐ'!B16="","",'予選 Ｐ'!B16)</f>
        <v/>
      </c>
      <c r="C67" s="74" t="str">
        <f>'予選 Ｐ'!C16</f>
        <v/>
      </c>
      <c r="D67" s="17" t="str">
        <f>'予選 Ｐ'!E16</f>
        <v/>
      </c>
      <c r="E67" s="75" t="str">
        <f>'予選 Ｐ'!F16</f>
        <v/>
      </c>
      <c r="F67" s="76"/>
      <c r="G67" s="77"/>
      <c r="H67" s="77"/>
      <c r="I67" s="77"/>
      <c r="J67" s="77"/>
      <c r="K67" s="78"/>
      <c r="L67" s="79"/>
      <c r="M67" s="80"/>
      <c r="N67" s="81"/>
      <c r="O67" s="82"/>
      <c r="P67" s="60"/>
    </row>
    <row r="68" spans="1:16" s="83" customFormat="1" ht="10.5">
      <c r="D68" s="84"/>
      <c r="E68" s="85"/>
    </row>
    <row r="69" spans="1:16" s="1" customFormat="1">
      <c r="C69" s="18" t="s">
        <v>29</v>
      </c>
      <c r="D69" s="19" t="s">
        <v>16</v>
      </c>
      <c r="E69" s="20" t="s">
        <v>8</v>
      </c>
      <c r="F69" s="2">
        <v>1</v>
      </c>
      <c r="G69" s="3">
        <v>2</v>
      </c>
      <c r="H69" s="3">
        <v>3</v>
      </c>
      <c r="I69" s="3">
        <v>4</v>
      </c>
      <c r="J69" s="3">
        <v>5</v>
      </c>
      <c r="K69" s="3">
        <v>6</v>
      </c>
      <c r="L69" s="3">
        <v>7</v>
      </c>
      <c r="M69" s="3">
        <v>8</v>
      </c>
      <c r="N69" s="3">
        <v>9</v>
      </c>
      <c r="O69" s="4" t="s">
        <v>5</v>
      </c>
    </row>
    <row r="70" spans="1:16" s="1" customFormat="1">
      <c r="A70" s="1">
        <v>1</v>
      </c>
      <c r="C70" s="21">
        <v>1</v>
      </c>
      <c r="D70" s="22" t="str">
        <f>IF(C70&gt;0,VLOOKUP(C70,C62:E67,2,FALSE),"")</f>
        <v>京都フューチャー</v>
      </c>
      <c r="E70" s="23" t="str">
        <f>IF(C70&gt;0,VLOOKUP(C70,C62:E67,3,FALSE),"")</f>
        <v>田中　うの</v>
      </c>
      <c r="F70" s="5"/>
      <c r="G70" s="6"/>
      <c r="H70" s="6"/>
      <c r="I70" s="6"/>
      <c r="J70" s="6"/>
      <c r="K70" s="6"/>
      <c r="L70" s="6"/>
      <c r="M70" s="6"/>
      <c r="N70" s="6"/>
      <c r="O70" s="7"/>
    </row>
    <row r="71" spans="1:16" s="1" customFormat="1">
      <c r="C71" s="24">
        <f>IF(C67=6,2,IF(C66=5,2,IF(C65=4,4,IF(C64=3,3))))</f>
        <v>4</v>
      </c>
      <c r="D71" s="25" t="str">
        <f>IF(C71&gt;0,VLOOKUP(C71,C62:E67,2,FALSE),"")</f>
        <v>はしまモア</v>
      </c>
      <c r="E71" s="26" t="str">
        <f>IF(C71&gt;0,VLOOKUP(C71,C62:E67,3,FALSE),"")</f>
        <v>山田　椛暖</v>
      </c>
      <c r="F71" s="8"/>
      <c r="G71" s="9"/>
      <c r="H71" s="9"/>
      <c r="I71" s="9"/>
      <c r="J71" s="9"/>
      <c r="K71" s="9"/>
      <c r="L71" s="9"/>
      <c r="M71" s="9"/>
      <c r="N71" s="9"/>
      <c r="O71" s="10"/>
    </row>
    <row r="72" spans="1:16" s="11" customFormat="1" ht="10.5">
      <c r="D72" s="27"/>
      <c r="E72" s="28"/>
    </row>
    <row r="73" spans="1:16" s="1" customFormat="1">
      <c r="A73" s="1">
        <v>2</v>
      </c>
      <c r="C73" s="21">
        <f>IF(C67=6,4,IF(C66=5,3,IF(C65=4,2,IF(C64=3,2))))</f>
        <v>2</v>
      </c>
      <c r="D73" s="22" t="str">
        <f>IF(C73&gt;0,VLOOKUP(C73,C62:E67,2,FALSE),"")</f>
        <v>武生ＪＦＣ</v>
      </c>
      <c r="E73" s="23" t="str">
        <f>IF(C73&gt;0,VLOOKUP(C73,C62:E67,3,FALSE),"")</f>
        <v>矢部　結愛</v>
      </c>
      <c r="F73" s="5"/>
      <c r="G73" s="6"/>
      <c r="H73" s="6"/>
      <c r="I73" s="6"/>
      <c r="J73" s="6"/>
      <c r="K73" s="6"/>
      <c r="L73" s="6"/>
      <c r="M73" s="6"/>
      <c r="N73" s="6"/>
      <c r="O73" s="7"/>
    </row>
    <row r="74" spans="1:16" s="1" customFormat="1">
      <c r="C74" s="24">
        <f>IF(C67=6,5,IF(C66=5,4,IF(C65=4,3,IF(C64=3,3))))</f>
        <v>3</v>
      </c>
      <c r="D74" s="25" t="str">
        <f>IF(C74&gt;0,VLOOKUP(C74,C62:E67,2,FALSE),"")</f>
        <v>養老ＦＣ</v>
      </c>
      <c r="E74" s="26" t="str">
        <f>IF(C74&gt;0,VLOOKUP(C74,C62:E67,3,FALSE),"")</f>
        <v>伊東　愛苺</v>
      </c>
      <c r="F74" s="8"/>
      <c r="G74" s="9"/>
      <c r="H74" s="9"/>
      <c r="I74" s="9"/>
      <c r="J74" s="9"/>
      <c r="K74" s="9"/>
      <c r="L74" s="9"/>
      <c r="M74" s="9"/>
      <c r="N74" s="9"/>
      <c r="O74" s="10"/>
    </row>
    <row r="75" spans="1:16" s="11" customFormat="1" ht="10.5">
      <c r="D75" s="27"/>
      <c r="E75" s="28"/>
    </row>
    <row r="76" spans="1:16" s="1" customFormat="1">
      <c r="A76" s="1">
        <v>3</v>
      </c>
      <c r="C76" s="21">
        <f>IF(C67=6,2,IF(C66=5,5,IF(C65=4,1,IF(C64=3,1))))</f>
        <v>1</v>
      </c>
      <c r="D76" s="22" t="str">
        <f>IF(C76&gt;0,VLOOKUP(C76,C62:E67,2,FALSE),"")</f>
        <v>京都フューチャー</v>
      </c>
      <c r="E76" s="23" t="str">
        <f>IF(C76&gt;0,VLOOKUP(C76,C62:E67,3,FALSE),"")</f>
        <v>田中　うの</v>
      </c>
      <c r="F76" s="5"/>
      <c r="G76" s="6"/>
      <c r="H76" s="6"/>
      <c r="I76" s="6"/>
      <c r="J76" s="6"/>
      <c r="K76" s="6"/>
      <c r="L76" s="6"/>
      <c r="M76" s="6"/>
      <c r="N76" s="6"/>
      <c r="O76" s="7"/>
    </row>
    <row r="77" spans="1:16" s="1" customFormat="1">
      <c r="C77" s="24">
        <f>IF(C67=6,3,IF(C66=5,1,IF(C65=4,3,IF(C64=3,2))))</f>
        <v>3</v>
      </c>
      <c r="D77" s="25" t="str">
        <f>IF(C77&gt;0,VLOOKUP(C77,C62:E67,2,FALSE),"")</f>
        <v>養老ＦＣ</v>
      </c>
      <c r="E77" s="26" t="str">
        <f>IF(C77&gt;0,VLOOKUP(C77,C62:E67,3,FALSE),"")</f>
        <v>伊東　愛苺</v>
      </c>
      <c r="F77" s="8"/>
      <c r="G77" s="9"/>
      <c r="H77" s="9"/>
      <c r="I77" s="9"/>
      <c r="J77" s="9"/>
      <c r="K77" s="9"/>
      <c r="L77" s="9"/>
      <c r="M77" s="9"/>
      <c r="N77" s="9"/>
      <c r="O77" s="10"/>
    </row>
    <row r="78" spans="1:16" s="11" customFormat="1" ht="10.5">
      <c r="C78" s="29"/>
      <c r="D78" s="30"/>
      <c r="E78" s="31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1:16" s="1" customFormat="1">
      <c r="A79" s="1">
        <v>4</v>
      </c>
      <c r="C79" s="21">
        <f>IF(C67=6,5,IF(C66=5,2,IF(C65=4,2,IF(C64=3,0,0))))</f>
        <v>2</v>
      </c>
      <c r="D79" s="22" t="str">
        <f>IF(C79&gt;0,VLOOKUP(C79,C62:E67,2,FALSE),"")</f>
        <v>武生ＪＦＣ</v>
      </c>
      <c r="E79" s="23" t="str">
        <f>IF(C79&gt;0,VLOOKUP(C79,C62:E67,3,FALSE),"")</f>
        <v>矢部　結愛</v>
      </c>
      <c r="F79" s="5"/>
      <c r="G79" s="6"/>
      <c r="H79" s="6"/>
      <c r="I79" s="6"/>
      <c r="J79" s="6"/>
      <c r="K79" s="6"/>
      <c r="L79" s="6"/>
      <c r="M79" s="6"/>
      <c r="N79" s="6"/>
      <c r="O79" s="7"/>
    </row>
    <row r="80" spans="1:16" s="1" customFormat="1">
      <c r="C80" s="24">
        <f>IF(C67=6,6,IF(C66=5,3,IF(C65=4,4,IF(C64=3,0,0))))</f>
        <v>4</v>
      </c>
      <c r="D80" s="25" t="str">
        <f>IF(C80&gt;0,VLOOKUP(C80,C62:E67,2,FALSE),"")</f>
        <v>はしまモア</v>
      </c>
      <c r="E80" s="26" t="str">
        <f>IF(C80&gt;0,VLOOKUP(C80,C62:E67,3,FALSE),"")</f>
        <v>山田　椛暖</v>
      </c>
      <c r="F80" s="8"/>
      <c r="G80" s="9"/>
      <c r="H80" s="9"/>
      <c r="I80" s="9"/>
      <c r="J80" s="9"/>
      <c r="K80" s="9"/>
      <c r="L80" s="9"/>
      <c r="M80" s="9"/>
      <c r="N80" s="9"/>
      <c r="O80" s="10"/>
    </row>
    <row r="81" spans="1:15" s="11" customFormat="1" ht="10.5">
      <c r="C81" s="29"/>
      <c r="D81" s="30"/>
      <c r="E81" s="31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1:15" s="1" customFormat="1">
      <c r="A82" s="1">
        <v>5</v>
      </c>
      <c r="C82" s="21">
        <f>IF(C67=6,3,IF(C66=5,5,IF(C65=4,3,IF(C64=3,0,0))))</f>
        <v>3</v>
      </c>
      <c r="D82" s="22" t="str">
        <f>IF(C82&gt;0,VLOOKUP(C82,C62:E67,2,FALSE),"")</f>
        <v>養老ＦＣ</v>
      </c>
      <c r="E82" s="23" t="str">
        <f>IF(C82&gt;0,VLOOKUP(C82,C62:E67,3,FALSE),"")</f>
        <v>伊東　愛苺</v>
      </c>
      <c r="F82" s="5"/>
      <c r="G82" s="6"/>
      <c r="H82" s="6"/>
      <c r="I82" s="6"/>
      <c r="J82" s="6"/>
      <c r="K82" s="6"/>
      <c r="L82" s="6"/>
      <c r="M82" s="6"/>
      <c r="N82" s="6"/>
      <c r="O82" s="7"/>
    </row>
    <row r="83" spans="1:15" s="1" customFormat="1">
      <c r="C83" s="24">
        <f>IF(C67=6,1,IF(C66=5,4,IF(C65=4,4,IF(C64=3,0,0))))</f>
        <v>4</v>
      </c>
      <c r="D83" s="25" t="str">
        <f>IF(C83&gt;0,VLOOKUP(C83,C62:E67,2,FALSE),"")</f>
        <v>はしまモア</v>
      </c>
      <c r="E83" s="26" t="str">
        <f>IF(C83&gt;0,VLOOKUP(C83,C62:E67,3,FALSE),"")</f>
        <v>山田　椛暖</v>
      </c>
      <c r="F83" s="8"/>
      <c r="G83" s="9"/>
      <c r="H83" s="9"/>
      <c r="I83" s="9"/>
      <c r="J83" s="9"/>
      <c r="K83" s="9"/>
      <c r="L83" s="9"/>
      <c r="M83" s="9"/>
      <c r="N83" s="9"/>
      <c r="O83" s="10"/>
    </row>
    <row r="84" spans="1:15" s="11" customFormat="1" ht="10.5">
      <c r="C84" s="29"/>
      <c r="D84" s="30"/>
      <c r="E84" s="31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1:15" s="1" customFormat="1">
      <c r="A85" s="1">
        <v>6</v>
      </c>
      <c r="C85" s="21">
        <f>IF(C67=6,6,IF(C66=5,1,IF(C65=4,1,IF(C64=3,0,0))))</f>
        <v>1</v>
      </c>
      <c r="D85" s="22" t="str">
        <f>IF(C85&gt;0,VLOOKUP(C85,C62:E67,2,FALSE),"")</f>
        <v>京都フューチャー</v>
      </c>
      <c r="E85" s="23" t="str">
        <f>IF(C85&gt;0,VLOOKUP(C85,C62:E67,3,FALSE),"")</f>
        <v>田中　うの</v>
      </c>
      <c r="F85" s="5"/>
      <c r="G85" s="6"/>
      <c r="H85" s="6"/>
      <c r="I85" s="6"/>
      <c r="J85" s="6"/>
      <c r="K85" s="6"/>
      <c r="L85" s="6"/>
      <c r="M85" s="6"/>
      <c r="N85" s="6"/>
      <c r="O85" s="7"/>
    </row>
    <row r="86" spans="1:15" s="1" customFormat="1">
      <c r="C86" s="24">
        <f>IF(C67=6,4,IF(C66=5,3,IF(C65=4,2,IF(C64=3,0,0))))</f>
        <v>2</v>
      </c>
      <c r="D86" s="25" t="str">
        <f>IF(C86&gt;0,VLOOKUP(C86,C62:E67,2,FALSE),"")</f>
        <v>武生ＪＦＣ</v>
      </c>
      <c r="E86" s="26" t="str">
        <f>IF(C86&gt;0,VLOOKUP(C86,C62:E67,3,FALSE),"")</f>
        <v>矢部　結愛</v>
      </c>
      <c r="F86" s="8"/>
      <c r="G86" s="9"/>
      <c r="H86" s="9"/>
      <c r="I86" s="9"/>
      <c r="J86" s="9"/>
      <c r="K86" s="9"/>
      <c r="L86" s="9"/>
      <c r="M86" s="9"/>
      <c r="N86" s="9"/>
      <c r="O86" s="10"/>
    </row>
    <row r="87" spans="1:15" s="11" customFormat="1" ht="10.5">
      <c r="C87" s="29"/>
      <c r="D87" s="30"/>
      <c r="E87" s="31"/>
      <c r="F87" s="12"/>
      <c r="G87" s="12"/>
      <c r="H87" s="12"/>
      <c r="I87" s="12"/>
      <c r="J87" s="12"/>
      <c r="K87" s="12"/>
      <c r="L87" s="12"/>
      <c r="M87" s="12"/>
      <c r="N87" s="12"/>
      <c r="O87" s="13"/>
    </row>
    <row r="88" spans="1:15" s="1" customFormat="1">
      <c r="A88" s="1">
        <v>7</v>
      </c>
      <c r="C88" s="21">
        <f>IF(C67=6,2,IF(C66=5,2,IF(C65=4,0,0)))</f>
        <v>0</v>
      </c>
      <c r="D88" s="22" t="str">
        <f>IF(C88&gt;0,VLOOKUP(C88,C62:E67,2,FALSE),"")</f>
        <v/>
      </c>
      <c r="E88" s="23" t="str">
        <f>IF(C88&gt;0,VLOOKUP(C88,C62:E67,3,FALSE),"")</f>
        <v/>
      </c>
      <c r="F88" s="5"/>
      <c r="G88" s="6"/>
      <c r="H88" s="6"/>
      <c r="I88" s="6"/>
      <c r="J88" s="6"/>
      <c r="K88" s="6"/>
      <c r="L88" s="6"/>
      <c r="M88" s="6"/>
      <c r="N88" s="6"/>
      <c r="O88" s="7"/>
    </row>
    <row r="89" spans="1:15" s="1" customFormat="1">
      <c r="C89" s="24">
        <f>IF(C67=6,5,IF(C66=5,5,IF(C65=4,0,0)))</f>
        <v>0</v>
      </c>
      <c r="D89" s="25" t="str">
        <f>IF(C89&gt;0,VLOOKUP(C89,C62:E67,2,FALSE),"")</f>
        <v/>
      </c>
      <c r="E89" s="26" t="str">
        <f>IF(C89&gt;0,VLOOKUP(C89,C62:E67,3,FALSE),"")</f>
        <v/>
      </c>
      <c r="F89" s="8"/>
      <c r="G89" s="9"/>
      <c r="H89" s="9"/>
      <c r="I89" s="9"/>
      <c r="J89" s="9"/>
      <c r="K89" s="9"/>
      <c r="L89" s="9"/>
      <c r="M89" s="9"/>
      <c r="N89" s="9"/>
      <c r="O89" s="10"/>
    </row>
    <row r="90" spans="1:15" s="11" customFormat="1" ht="10.5">
      <c r="C90" s="29"/>
      <c r="D90" s="30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3"/>
    </row>
    <row r="91" spans="1:15" s="1" customFormat="1">
      <c r="A91" s="1">
        <v>8</v>
      </c>
      <c r="C91" s="21">
        <f>IF(C67=6,1,IF(C66=5,4,IF(C65=4,0,0)))</f>
        <v>0</v>
      </c>
      <c r="D91" s="22" t="str">
        <f>IF(C91&gt;0,VLOOKUP(C91,C62:E67,2,FALSE),"")</f>
        <v/>
      </c>
      <c r="E91" s="23" t="str">
        <f>IF(C91&gt;0,VLOOKUP(C91,C62:E67,3,FALSE),"")</f>
        <v/>
      </c>
      <c r="F91" s="5"/>
      <c r="G91" s="6"/>
      <c r="H91" s="6"/>
      <c r="I91" s="6"/>
      <c r="J91" s="6"/>
      <c r="K91" s="6"/>
      <c r="L91" s="6"/>
      <c r="M91" s="6"/>
      <c r="N91" s="6"/>
      <c r="O91" s="7"/>
    </row>
    <row r="92" spans="1:15" s="1" customFormat="1">
      <c r="C92" s="24">
        <f>IF(C67=6,4,IF(C66=5,1,IF(C65=4,0,0)))</f>
        <v>0</v>
      </c>
      <c r="D92" s="25" t="str">
        <f>IF(C92&gt;0,VLOOKUP(C92,C62:E67,2,FALSE),"")</f>
        <v/>
      </c>
      <c r="E92" s="26" t="str">
        <f>IF(C92&gt;0,VLOOKUP(C92,C62:E67,3,FALSE),"")</f>
        <v/>
      </c>
      <c r="F92" s="8"/>
      <c r="G92" s="9"/>
      <c r="H92" s="9"/>
      <c r="I92" s="9"/>
      <c r="J92" s="9"/>
      <c r="K92" s="9"/>
      <c r="L92" s="9"/>
      <c r="M92" s="9"/>
      <c r="N92" s="9"/>
      <c r="O92" s="10"/>
    </row>
    <row r="93" spans="1:15" s="11" customFormat="1" ht="10.5">
      <c r="C93" s="29"/>
      <c r="D93" s="30"/>
      <c r="E93" s="31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spans="1:15" s="1" customFormat="1">
      <c r="A94" s="1">
        <v>9</v>
      </c>
      <c r="C94" s="21">
        <f>IF(C67=6,5,IF(C66=5,3,IF(C65=4,0,0)))</f>
        <v>0</v>
      </c>
      <c r="D94" s="22" t="str">
        <f>IF(C94&gt;0,VLOOKUP(C94,C62:E67,2,FALSE),"")</f>
        <v/>
      </c>
      <c r="E94" s="23" t="str">
        <f>IF(C94&gt;0,VLOOKUP(C94,C62:E67,3,FALSE),"")</f>
        <v/>
      </c>
      <c r="F94" s="5"/>
      <c r="G94" s="6"/>
      <c r="H94" s="6"/>
      <c r="I94" s="6"/>
      <c r="J94" s="6"/>
      <c r="K94" s="6"/>
      <c r="L94" s="6"/>
      <c r="M94" s="6"/>
      <c r="N94" s="6"/>
      <c r="O94" s="7"/>
    </row>
    <row r="95" spans="1:15" s="1" customFormat="1">
      <c r="C95" s="24">
        <f>IF(C67=6,3,IF(C66=5,5,IF(C65=4,0,0)))</f>
        <v>0</v>
      </c>
      <c r="D95" s="25" t="str">
        <f>IF(C95&gt;0,VLOOKUP(C95,C62:E67,2,FALSE),"")</f>
        <v/>
      </c>
      <c r="E95" s="26" t="str">
        <f>IF(C95&gt;0,VLOOKUP(C95,C62:E67,3,FALSE),"")</f>
        <v/>
      </c>
      <c r="F95" s="8"/>
      <c r="G95" s="9"/>
      <c r="H95" s="9"/>
      <c r="I95" s="9"/>
      <c r="J95" s="9"/>
      <c r="K95" s="9"/>
      <c r="L95" s="9"/>
      <c r="M95" s="9"/>
      <c r="N95" s="9"/>
      <c r="O95" s="10"/>
    </row>
    <row r="96" spans="1:15" s="11" customFormat="1" ht="10.5">
      <c r="C96" s="29"/>
      <c r="D96" s="30"/>
      <c r="E96" s="31"/>
      <c r="F96" s="12"/>
      <c r="G96" s="12"/>
      <c r="H96" s="12"/>
      <c r="I96" s="12"/>
      <c r="J96" s="12"/>
      <c r="K96" s="12"/>
      <c r="L96" s="12"/>
      <c r="M96" s="12"/>
      <c r="N96" s="12"/>
      <c r="O96" s="13"/>
    </row>
    <row r="97" spans="1:15" s="1" customFormat="1">
      <c r="A97" s="1">
        <v>10</v>
      </c>
      <c r="C97" s="21">
        <f>IF(C67=6,1,IF(C66=5,4,IF(C65=4,0,0)))</f>
        <v>0</v>
      </c>
      <c r="D97" s="22" t="str">
        <f>IF(C97&gt;0,VLOOKUP(C97,C62:E67,2,FALSE),"")</f>
        <v/>
      </c>
      <c r="E97" s="23" t="str">
        <f>IF(C97&gt;0,VLOOKUP(C97,C62:E67,3,FALSE),"")</f>
        <v/>
      </c>
      <c r="F97" s="5"/>
      <c r="G97" s="6"/>
      <c r="H97" s="6"/>
      <c r="I97" s="6"/>
      <c r="J97" s="6"/>
      <c r="K97" s="6"/>
      <c r="L97" s="6"/>
      <c r="M97" s="6"/>
      <c r="N97" s="6"/>
      <c r="O97" s="7"/>
    </row>
    <row r="98" spans="1:15" s="1" customFormat="1">
      <c r="C98" s="24">
        <f>IF(C67=6,6,IF(C66=5,2,IF(C65=4,0,0)))</f>
        <v>0</v>
      </c>
      <c r="D98" s="25" t="str">
        <f>IF(C98&gt;0,VLOOKUP(C98,C62:E67,2,FALSE),"")</f>
        <v/>
      </c>
      <c r="E98" s="26" t="str">
        <f>IF(C98&gt;0,VLOOKUP(C98,C62:E67,3,FALSE),"")</f>
        <v/>
      </c>
      <c r="F98" s="8"/>
      <c r="G98" s="9"/>
      <c r="H98" s="9"/>
      <c r="I98" s="9"/>
      <c r="J98" s="9"/>
      <c r="K98" s="9"/>
      <c r="L98" s="9"/>
      <c r="M98" s="9"/>
      <c r="N98" s="9"/>
      <c r="O98" s="10"/>
    </row>
    <row r="99" spans="1:15" s="11" customFormat="1" ht="10.5">
      <c r="C99" s="29"/>
      <c r="D99" s="30"/>
      <c r="E99" s="31"/>
      <c r="F99" s="12"/>
      <c r="G99" s="12"/>
      <c r="H99" s="12"/>
      <c r="I99" s="12"/>
      <c r="J99" s="12"/>
      <c r="K99" s="12"/>
      <c r="L99" s="12"/>
      <c r="M99" s="12"/>
      <c r="N99" s="12"/>
      <c r="O99" s="13"/>
    </row>
    <row r="100" spans="1:15" s="1" customFormat="1">
      <c r="A100" s="1">
        <v>11</v>
      </c>
      <c r="C100" s="21">
        <f>IF(C67=6,4,0)</f>
        <v>0</v>
      </c>
      <c r="D100" s="22" t="str">
        <f>IF(C100&gt;0,VLOOKUP(C100,C62:E67,2,FALSE),"")</f>
        <v/>
      </c>
      <c r="E100" s="23" t="str">
        <f>IF(C100&gt;0,VLOOKUP(C100,C62:E67,3,FALSE),"")</f>
        <v/>
      </c>
      <c r="F100" s="5"/>
      <c r="G100" s="6"/>
      <c r="H100" s="6"/>
      <c r="I100" s="6"/>
      <c r="J100" s="6"/>
      <c r="K100" s="6"/>
      <c r="L100" s="6"/>
      <c r="M100" s="6"/>
      <c r="N100" s="6"/>
      <c r="O100" s="7"/>
    </row>
    <row r="101" spans="1:15" s="1" customFormat="1">
      <c r="C101" s="24">
        <f>IF(C67=6,2,0)</f>
        <v>0</v>
      </c>
      <c r="D101" s="25" t="str">
        <f>IF(C101&gt;0,VLOOKUP(C101,C62:E67,2,FALSE),"")</f>
        <v/>
      </c>
      <c r="E101" s="26" t="str">
        <f>IF(C101&gt;0,VLOOKUP(C101,C62:E67,3,FALSE),"")</f>
        <v/>
      </c>
      <c r="F101" s="8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s="11" customFormat="1" ht="10.5">
      <c r="C102" s="29"/>
      <c r="D102" s="30"/>
      <c r="E102" s="31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s="1" customFormat="1">
      <c r="A103" s="1">
        <v>12</v>
      </c>
      <c r="C103" s="21">
        <f>IF(C67=6,3,0)</f>
        <v>0</v>
      </c>
      <c r="D103" s="22" t="str">
        <f>IF(C103&gt;0,VLOOKUP(C103,C62:E67,2,FALSE),"")</f>
        <v/>
      </c>
      <c r="E103" s="23" t="str">
        <f>IF(C103&gt;0,VLOOKUP(C103,C62:E67,3,FALSE),"")</f>
        <v/>
      </c>
      <c r="F103" s="5"/>
      <c r="G103" s="6"/>
      <c r="H103" s="6"/>
      <c r="I103" s="6"/>
      <c r="J103" s="6"/>
      <c r="K103" s="6"/>
      <c r="L103" s="6"/>
      <c r="M103" s="6"/>
      <c r="N103" s="6"/>
      <c r="O103" s="7"/>
    </row>
    <row r="104" spans="1:15" s="1" customFormat="1" ht="13.5" customHeight="1">
      <c r="C104" s="24">
        <f>IF(C67=6,6,0)</f>
        <v>0</v>
      </c>
      <c r="D104" s="25" t="str">
        <f>IF(C104&gt;0,VLOOKUP(C104,C62:E67,2,FALSE),"")</f>
        <v/>
      </c>
      <c r="E104" s="26" t="str">
        <f>IF(C104&gt;0,VLOOKUP(C104,C62:E67,3,FALSE),"")</f>
        <v/>
      </c>
      <c r="F104" s="8"/>
      <c r="G104" s="9"/>
      <c r="H104" s="9"/>
      <c r="I104" s="9"/>
      <c r="J104" s="9"/>
      <c r="K104" s="9"/>
      <c r="L104" s="9"/>
      <c r="M104" s="9"/>
      <c r="N104" s="9"/>
      <c r="O104" s="10"/>
    </row>
    <row r="105" spans="1:15" s="11" customFormat="1" ht="10.5">
      <c r="C105" s="29"/>
      <c r="D105" s="30"/>
      <c r="E105" s="31"/>
      <c r="F105" s="12"/>
      <c r="G105" s="12"/>
      <c r="H105" s="12"/>
      <c r="I105" s="12"/>
      <c r="J105" s="12"/>
      <c r="K105" s="12"/>
      <c r="L105" s="12"/>
      <c r="M105" s="12"/>
      <c r="N105" s="12"/>
      <c r="O105" s="13"/>
    </row>
    <row r="106" spans="1:15" s="1" customFormat="1">
      <c r="A106" s="1">
        <v>13</v>
      </c>
      <c r="C106" s="21">
        <f>IF(C67=6,5,0)</f>
        <v>0</v>
      </c>
      <c r="D106" s="22" t="str">
        <f>IF(C106&gt;0,VLOOKUP(C106,C62:E67,2,FALSE),"")</f>
        <v/>
      </c>
      <c r="E106" s="23" t="str">
        <f>IF(C106&gt;0,VLOOKUP(C106,C62:E67,3,FALSE),"")</f>
        <v/>
      </c>
      <c r="F106" s="5"/>
      <c r="G106" s="6"/>
      <c r="H106" s="6"/>
      <c r="I106" s="6"/>
      <c r="J106" s="6"/>
      <c r="K106" s="6"/>
      <c r="L106" s="6"/>
      <c r="M106" s="6"/>
      <c r="N106" s="6"/>
      <c r="O106" s="7"/>
    </row>
    <row r="107" spans="1:15" s="1" customFormat="1">
      <c r="C107" s="24">
        <f>IF(C67=6,1,0)</f>
        <v>0</v>
      </c>
      <c r="D107" s="25" t="str">
        <f>IF(C107&gt;0,VLOOKUP(C107,C62:E67,2,FALSE),"")</f>
        <v/>
      </c>
      <c r="E107" s="26" t="str">
        <f>IF(C107&gt;0,VLOOKUP(C107,C62:E67,3,FALSE),"")</f>
        <v/>
      </c>
      <c r="F107" s="8"/>
      <c r="G107" s="9"/>
      <c r="H107" s="9"/>
      <c r="I107" s="9"/>
      <c r="J107" s="9"/>
      <c r="K107" s="9"/>
      <c r="L107" s="9"/>
      <c r="M107" s="9"/>
      <c r="N107" s="9"/>
      <c r="O107" s="10"/>
    </row>
    <row r="108" spans="1:15" s="11" customFormat="1" ht="10.5">
      <c r="C108" s="29"/>
      <c r="D108" s="30"/>
      <c r="E108" s="31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1:15" s="1" customFormat="1">
      <c r="A109" s="1">
        <v>14</v>
      </c>
      <c r="C109" s="21">
        <f>IF(C67=6,3,0)</f>
        <v>0</v>
      </c>
      <c r="D109" s="22" t="str">
        <f>IF(C109&gt;0,VLOOKUP(C109,C62:E67,2,FALSE),"")</f>
        <v/>
      </c>
      <c r="E109" s="23" t="str">
        <f>IF(C109&gt;0,VLOOKUP(C109,C62:E67,3,FALSE),"")</f>
        <v/>
      </c>
      <c r="F109" s="5"/>
      <c r="G109" s="6"/>
      <c r="H109" s="6"/>
      <c r="I109" s="6"/>
      <c r="J109" s="6"/>
      <c r="K109" s="6"/>
      <c r="L109" s="6"/>
      <c r="M109" s="6"/>
      <c r="N109" s="6"/>
      <c r="O109" s="7"/>
    </row>
    <row r="110" spans="1:15" s="1" customFormat="1">
      <c r="C110" s="24">
        <f>IF(C67=6,4,0)</f>
        <v>0</v>
      </c>
      <c r="D110" s="25" t="str">
        <f>IF(C110&gt;0,VLOOKUP(C110,C62:E67,2,FALSE),"")</f>
        <v/>
      </c>
      <c r="E110" s="26" t="str">
        <f>IF(C110&gt;0,VLOOKUP(C110,C62:E67,3,FALSE),"")</f>
        <v/>
      </c>
      <c r="F110" s="8"/>
      <c r="G110" s="9"/>
      <c r="H110" s="9"/>
      <c r="I110" s="9"/>
      <c r="J110" s="9"/>
      <c r="K110" s="9"/>
      <c r="L110" s="9"/>
      <c r="M110" s="9"/>
      <c r="N110" s="9"/>
      <c r="O110" s="10"/>
    </row>
    <row r="111" spans="1:15" s="11" customFormat="1" ht="10.5">
      <c r="C111" s="29"/>
      <c r="D111" s="30"/>
      <c r="E111" s="31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1:15" s="1" customFormat="1">
      <c r="A112" s="1">
        <v>15</v>
      </c>
      <c r="C112" s="21">
        <f>IF(C67=6,6,0)</f>
        <v>0</v>
      </c>
      <c r="D112" s="22" t="str">
        <f>IF(C112&gt;0,VLOOKUP(C112,C62:E67,2,FALSE),"")</f>
        <v/>
      </c>
      <c r="E112" s="23" t="str">
        <f>IF(C112&gt;0,VLOOKUP(C112,C62:E67,3,FALSE),"")</f>
        <v/>
      </c>
      <c r="F112" s="5"/>
      <c r="G112" s="6"/>
      <c r="H112" s="6"/>
      <c r="I112" s="6"/>
      <c r="J112" s="6"/>
      <c r="K112" s="6"/>
      <c r="L112" s="6"/>
      <c r="M112" s="6"/>
      <c r="N112" s="6"/>
      <c r="O112" s="7"/>
    </row>
    <row r="113" spans="1:16" s="1" customFormat="1">
      <c r="C113" s="24">
        <f>IF(C67=6,2,0)</f>
        <v>0</v>
      </c>
      <c r="D113" s="25" t="str">
        <f>IF(C113&gt;0,VLOOKUP(C113,C62:E67,2,FALSE),"")</f>
        <v/>
      </c>
      <c r="E113" s="26" t="str">
        <f>IF(C113&gt;0,VLOOKUP(C113,C62:E67,3,FALSE),"")</f>
        <v/>
      </c>
      <c r="F113" s="8"/>
      <c r="G113" s="9"/>
      <c r="H113" s="9"/>
      <c r="I113" s="9"/>
      <c r="J113" s="9"/>
      <c r="K113" s="9"/>
      <c r="L113" s="9"/>
      <c r="M113" s="9"/>
      <c r="N113" s="9"/>
      <c r="O113" s="10"/>
    </row>
    <row r="114" spans="1:16" s="83" customFormat="1" ht="10.5">
      <c r="C114" s="86"/>
      <c r="D114" s="32"/>
      <c r="E114" s="33"/>
      <c r="F114" s="87"/>
      <c r="G114" s="87"/>
      <c r="H114" s="87"/>
      <c r="I114" s="87"/>
      <c r="J114" s="87"/>
      <c r="K114" s="87"/>
      <c r="L114" s="87"/>
      <c r="M114" s="87"/>
      <c r="N114" s="87"/>
      <c r="O114" s="88"/>
    </row>
    <row r="115" spans="1:16" s="36" customFormat="1" ht="17.25">
      <c r="A115" s="278" t="str">
        <f>名簿!$A$1</f>
        <v>第9回川本杯はしまモアフェンシング大会</v>
      </c>
      <c r="B115" s="278"/>
      <c r="C115" s="278"/>
      <c r="D115" s="278"/>
      <c r="E115" s="278"/>
      <c r="F115" s="278"/>
      <c r="G115" s="278"/>
      <c r="H115" s="278"/>
      <c r="I115" s="278"/>
      <c r="J115" s="279"/>
      <c r="K115" s="227" t="s">
        <v>53</v>
      </c>
      <c r="L115" s="272" t="s">
        <v>54</v>
      </c>
      <c r="M115" s="272"/>
      <c r="N115" s="272"/>
      <c r="O115" s="273"/>
    </row>
    <row r="116" spans="1:16" s="37" customFormat="1" ht="14.25">
      <c r="A116" s="276" t="str">
        <f>"　"&amp;名簿!$A$2</f>
        <v>　小学1-3年女子</v>
      </c>
      <c r="B116" s="276"/>
      <c r="C116" s="276"/>
      <c r="D116" s="276"/>
      <c r="E116" s="276"/>
      <c r="F116" s="276"/>
      <c r="G116" s="276"/>
      <c r="H116" s="276"/>
      <c r="I116" s="276"/>
      <c r="J116" s="277"/>
      <c r="K116" s="228"/>
      <c r="L116" s="274" t="s">
        <v>55</v>
      </c>
      <c r="M116" s="274"/>
      <c r="N116" s="274"/>
      <c r="O116" s="275"/>
    </row>
    <row r="117" spans="1:16" s="37" customFormat="1" ht="14.25">
      <c r="A117" s="268" t="str">
        <f>"　　"&amp;名簿!$A$3</f>
        <v>　　1回戦</v>
      </c>
      <c r="B117" s="268"/>
      <c r="C117" s="268"/>
      <c r="D117" s="268"/>
      <c r="E117" s="268"/>
      <c r="K117" s="269">
        <f>名簿!$E$3</f>
        <v>43184</v>
      </c>
      <c r="L117" s="269"/>
      <c r="M117" s="269"/>
      <c r="N117" s="269"/>
      <c r="O117" s="269"/>
    </row>
    <row r="118" spans="1:16">
      <c r="A118" s="38" t="s">
        <v>36</v>
      </c>
      <c r="B118" s="39" t="s">
        <v>13</v>
      </c>
      <c r="C118" s="40" t="s">
        <v>0</v>
      </c>
      <c r="D118" s="41" t="s">
        <v>7</v>
      </c>
      <c r="E118" s="42" t="s">
        <v>8</v>
      </c>
      <c r="F118" s="43">
        <v>1</v>
      </c>
      <c r="G118" s="44">
        <v>2</v>
      </c>
      <c r="H118" s="44">
        <v>3</v>
      </c>
      <c r="I118" s="44">
        <v>4</v>
      </c>
      <c r="J118" s="44">
        <v>5</v>
      </c>
      <c r="K118" s="45">
        <v>6</v>
      </c>
      <c r="L118" s="46" t="s">
        <v>37</v>
      </c>
      <c r="M118" s="47" t="s">
        <v>38</v>
      </c>
      <c r="N118" s="270" t="s">
        <v>6</v>
      </c>
      <c r="O118" s="271"/>
      <c r="P118" s="48"/>
    </row>
    <row r="119" spans="1:16" ht="18" customHeight="1">
      <c r="A119" s="50">
        <f>'予選 Ｐ'!A17</f>
        <v>3</v>
      </c>
      <c r="B119" s="51">
        <f>'予選 Ｐ'!B17</f>
        <v>3</v>
      </c>
      <c r="C119" s="52">
        <f>'予選 Ｐ'!C17</f>
        <v>1</v>
      </c>
      <c r="D119" s="14" t="str">
        <f>'予選 Ｐ'!E17</f>
        <v>京都フューチャー</v>
      </c>
      <c r="E119" s="15" t="str">
        <f>'予選 Ｐ'!F17</f>
        <v>熊本　詩乃</v>
      </c>
      <c r="F119" s="53"/>
      <c r="G119" s="54"/>
      <c r="H119" s="54"/>
      <c r="I119" s="54"/>
      <c r="J119" s="54"/>
      <c r="K119" s="55"/>
      <c r="L119" s="56"/>
      <c r="M119" s="57"/>
      <c r="N119" s="58"/>
      <c r="O119" s="59"/>
      <c r="P119" s="60"/>
    </row>
    <row r="120" spans="1:16" ht="18" customHeight="1">
      <c r="A120" s="61">
        <f>'予選 Ｐ'!A18</f>
        <v>3</v>
      </c>
      <c r="B120" s="62">
        <f>'予選 Ｐ'!B18</f>
        <v>6</v>
      </c>
      <c r="C120" s="63">
        <f>'予選 Ｐ'!C18</f>
        <v>2</v>
      </c>
      <c r="D120" s="16" t="str">
        <f>'予選 Ｐ'!E18</f>
        <v>長野ジュニア</v>
      </c>
      <c r="E120" s="15" t="str">
        <f>'予選 Ｐ'!F18</f>
        <v>原　悠莉</v>
      </c>
      <c r="F120" s="64"/>
      <c r="G120" s="65"/>
      <c r="H120" s="66"/>
      <c r="I120" s="66"/>
      <c r="J120" s="66"/>
      <c r="K120" s="67"/>
      <c r="L120" s="68"/>
      <c r="M120" s="69"/>
      <c r="N120" s="70"/>
      <c r="O120" s="71"/>
      <c r="P120" s="60"/>
    </row>
    <row r="121" spans="1:16" ht="18" customHeight="1">
      <c r="A121" s="61">
        <f>'予選 Ｐ'!A19</f>
        <v>3</v>
      </c>
      <c r="B121" s="62">
        <f>'予選 Ｐ'!B19</f>
        <v>11</v>
      </c>
      <c r="C121" s="63">
        <f>'予選 Ｐ'!C19</f>
        <v>3</v>
      </c>
      <c r="D121" s="16" t="str">
        <f>'予選 Ｐ'!E19</f>
        <v>養老ＦＣ</v>
      </c>
      <c r="E121" s="15" t="str">
        <f>'予選 Ｐ'!F19</f>
        <v>三輪　楓華</v>
      </c>
      <c r="F121" s="64"/>
      <c r="G121" s="66"/>
      <c r="H121" s="65"/>
      <c r="I121" s="66"/>
      <c r="J121" s="66"/>
      <c r="K121" s="67"/>
      <c r="L121" s="68"/>
      <c r="M121" s="69"/>
      <c r="N121" s="70"/>
      <c r="O121" s="71"/>
      <c r="P121" s="60"/>
    </row>
    <row r="122" spans="1:16" ht="18" customHeight="1">
      <c r="A122" s="61">
        <f>'予選 Ｐ'!A20</f>
        <v>3</v>
      </c>
      <c r="B122" s="62">
        <f>IF('予選 Ｐ'!B20="","",'予選 Ｐ'!B20)</f>
        <v>14</v>
      </c>
      <c r="C122" s="63">
        <f>'予選 Ｐ'!C20</f>
        <v>4</v>
      </c>
      <c r="D122" s="16" t="str">
        <f>'予選 Ｐ'!E20</f>
        <v>はしまモア</v>
      </c>
      <c r="E122" s="15" t="str">
        <f>'予選 Ｐ'!F20</f>
        <v>石黒　莉愛</v>
      </c>
      <c r="F122" s="64"/>
      <c r="G122" s="66"/>
      <c r="H122" s="66"/>
      <c r="I122" s="65"/>
      <c r="J122" s="66"/>
      <c r="K122" s="67"/>
      <c r="L122" s="68"/>
      <c r="M122" s="69"/>
      <c r="N122" s="70"/>
      <c r="O122" s="71"/>
      <c r="P122" s="60"/>
    </row>
    <row r="123" spans="1:16" ht="18" customHeight="1">
      <c r="A123" s="61" t="str">
        <f>'予選 Ｐ'!A21</f>
        <v/>
      </c>
      <c r="B123" s="62" t="str">
        <f>IF('予選 Ｐ'!B21="","",'予選 Ｐ'!B21)</f>
        <v/>
      </c>
      <c r="C123" s="63" t="str">
        <f>'予選 Ｐ'!C21</f>
        <v/>
      </c>
      <c r="D123" s="16" t="str">
        <f>'予選 Ｐ'!E21</f>
        <v/>
      </c>
      <c r="E123" s="15" t="str">
        <f>'予選 Ｐ'!F21</f>
        <v/>
      </c>
      <c r="F123" s="64"/>
      <c r="G123" s="66"/>
      <c r="H123" s="66"/>
      <c r="I123" s="66"/>
      <c r="J123" s="65"/>
      <c r="K123" s="67"/>
      <c r="L123" s="68"/>
      <c r="M123" s="69"/>
      <c r="N123" s="70"/>
      <c r="O123" s="71"/>
      <c r="P123" s="60"/>
    </row>
    <row r="124" spans="1:16" ht="18" customHeight="1">
      <c r="A124" s="72" t="str">
        <f>'予選 Ｐ'!A22</f>
        <v/>
      </c>
      <c r="B124" s="73" t="str">
        <f>IF('予選 Ｐ'!B22="","",'予選 Ｐ'!B22)</f>
        <v/>
      </c>
      <c r="C124" s="74" t="str">
        <f>'予選 Ｐ'!C22</f>
        <v/>
      </c>
      <c r="D124" s="17" t="str">
        <f>'予選 Ｐ'!E22</f>
        <v/>
      </c>
      <c r="E124" s="75" t="str">
        <f>'予選 Ｐ'!F22</f>
        <v/>
      </c>
      <c r="F124" s="76"/>
      <c r="G124" s="77"/>
      <c r="H124" s="77"/>
      <c r="I124" s="77"/>
      <c r="J124" s="77"/>
      <c r="K124" s="78"/>
      <c r="L124" s="79"/>
      <c r="M124" s="80"/>
      <c r="N124" s="81"/>
      <c r="O124" s="82"/>
      <c r="P124" s="60"/>
    </row>
    <row r="125" spans="1:16" s="83" customFormat="1" ht="10.5">
      <c r="D125" s="84"/>
      <c r="E125" s="85"/>
    </row>
    <row r="126" spans="1:16" s="1" customFormat="1">
      <c r="C126" s="18" t="s">
        <v>29</v>
      </c>
      <c r="D126" s="19" t="s">
        <v>16</v>
      </c>
      <c r="E126" s="20" t="s">
        <v>8</v>
      </c>
      <c r="F126" s="2">
        <v>1</v>
      </c>
      <c r="G126" s="3">
        <v>2</v>
      </c>
      <c r="H126" s="3">
        <v>3</v>
      </c>
      <c r="I126" s="3">
        <v>4</v>
      </c>
      <c r="J126" s="3">
        <v>5</v>
      </c>
      <c r="K126" s="3">
        <v>6</v>
      </c>
      <c r="L126" s="3">
        <v>7</v>
      </c>
      <c r="M126" s="3">
        <v>8</v>
      </c>
      <c r="N126" s="3">
        <v>9</v>
      </c>
      <c r="O126" s="4" t="s">
        <v>5</v>
      </c>
    </row>
    <row r="127" spans="1:16" s="1" customFormat="1">
      <c r="A127" s="1">
        <v>1</v>
      </c>
      <c r="C127" s="21">
        <v>1</v>
      </c>
      <c r="D127" s="22" t="str">
        <f>IF(C127&gt;0,VLOOKUP(C127,C119:E124,2,FALSE),"")</f>
        <v>京都フューチャー</v>
      </c>
      <c r="E127" s="23" t="str">
        <f>IF(C127&gt;0,VLOOKUP(C127,C119:E124,3,FALSE),"")</f>
        <v>熊本　詩乃</v>
      </c>
      <c r="F127" s="5"/>
      <c r="G127" s="6"/>
      <c r="H127" s="6"/>
      <c r="I127" s="6"/>
      <c r="J127" s="6"/>
      <c r="K127" s="6"/>
      <c r="L127" s="6"/>
      <c r="M127" s="6"/>
      <c r="N127" s="6"/>
      <c r="O127" s="7"/>
    </row>
    <row r="128" spans="1:16" s="1" customFormat="1">
      <c r="C128" s="24">
        <f>IF(C124=6,2,IF(C123=5,2,IF(C122=4,4,IF(C121=3,3))))</f>
        <v>4</v>
      </c>
      <c r="D128" s="25" t="str">
        <f>IF(C128&gt;0,VLOOKUP(C128,C119:E124,2,FALSE),"")</f>
        <v>はしまモア</v>
      </c>
      <c r="E128" s="26" t="str">
        <f>IF(C128&gt;0,VLOOKUP(C128,C119:E124,3,FALSE),"")</f>
        <v>石黒　莉愛</v>
      </c>
      <c r="F128" s="8"/>
      <c r="G128" s="9"/>
      <c r="H128" s="9"/>
      <c r="I128" s="9"/>
      <c r="J128" s="9"/>
      <c r="K128" s="9"/>
      <c r="L128" s="9"/>
      <c r="M128" s="9"/>
      <c r="N128" s="9"/>
      <c r="O128" s="10"/>
    </row>
    <row r="129" spans="1:15" s="11" customFormat="1" ht="10.5">
      <c r="D129" s="27"/>
      <c r="E129" s="28"/>
    </row>
    <row r="130" spans="1:15" s="1" customFormat="1">
      <c r="A130" s="1">
        <v>2</v>
      </c>
      <c r="C130" s="21">
        <f>IF(C124=6,4,IF(C123=5,3,IF(C122=4,2,IF(C121=3,2))))</f>
        <v>2</v>
      </c>
      <c r="D130" s="22" t="str">
        <f>IF(C130&gt;0,VLOOKUP(C130,C119:E124,2,FALSE),"")</f>
        <v>長野ジュニア</v>
      </c>
      <c r="E130" s="23" t="str">
        <f>IF(C130&gt;0,VLOOKUP(C130,C119:E124,3,FALSE),"")</f>
        <v>原　悠莉</v>
      </c>
      <c r="F130" s="5"/>
      <c r="G130" s="6"/>
      <c r="H130" s="6"/>
      <c r="I130" s="6"/>
      <c r="J130" s="6"/>
      <c r="K130" s="6"/>
      <c r="L130" s="6"/>
      <c r="M130" s="6"/>
      <c r="N130" s="6"/>
      <c r="O130" s="7"/>
    </row>
    <row r="131" spans="1:15" s="1" customFormat="1">
      <c r="C131" s="24">
        <f>IF(C124=6,5,IF(C123=5,4,IF(C122=4,3,IF(C121=3,3))))</f>
        <v>3</v>
      </c>
      <c r="D131" s="25" t="str">
        <f>IF(C131&gt;0,VLOOKUP(C131,C119:E124,2,FALSE),"")</f>
        <v>養老ＦＣ</v>
      </c>
      <c r="E131" s="26" t="str">
        <f>IF(C131&gt;0,VLOOKUP(C131,C119:E124,3,FALSE),"")</f>
        <v>三輪　楓華</v>
      </c>
      <c r="F131" s="8"/>
      <c r="G131" s="9"/>
      <c r="H131" s="9"/>
      <c r="I131" s="9"/>
      <c r="J131" s="9"/>
      <c r="K131" s="9"/>
      <c r="L131" s="9"/>
      <c r="M131" s="9"/>
      <c r="N131" s="9"/>
      <c r="O131" s="10"/>
    </row>
    <row r="132" spans="1:15" s="11" customFormat="1" ht="10.5">
      <c r="D132" s="27"/>
      <c r="E132" s="28"/>
    </row>
    <row r="133" spans="1:15" s="1" customFormat="1">
      <c r="A133" s="1">
        <v>3</v>
      </c>
      <c r="C133" s="21">
        <f>IF(C124=6,2,IF(C123=5,5,IF(C122=4,1,IF(C121=3,1))))</f>
        <v>1</v>
      </c>
      <c r="D133" s="22" t="str">
        <f>IF(C133&gt;0,VLOOKUP(C133,C119:E124,2,FALSE),"")</f>
        <v>京都フューチャー</v>
      </c>
      <c r="E133" s="23" t="str">
        <f>IF(C133&gt;0,VLOOKUP(C133,C119:E124,3,FALSE),"")</f>
        <v>熊本　詩乃</v>
      </c>
      <c r="F133" s="5"/>
      <c r="G133" s="6"/>
      <c r="H133" s="6"/>
      <c r="I133" s="6"/>
      <c r="J133" s="6"/>
      <c r="K133" s="6"/>
      <c r="L133" s="6"/>
      <c r="M133" s="6"/>
      <c r="N133" s="6"/>
      <c r="O133" s="7"/>
    </row>
    <row r="134" spans="1:15" s="1" customFormat="1">
      <c r="C134" s="24">
        <f>IF(C124=6,3,IF(C123=5,1,IF(C122=4,3,IF(C121=3,2))))</f>
        <v>3</v>
      </c>
      <c r="D134" s="25" t="str">
        <f>IF(C134&gt;0,VLOOKUP(C134,C119:E124,2,FALSE),"")</f>
        <v>養老ＦＣ</v>
      </c>
      <c r="E134" s="26" t="str">
        <f>IF(C134&gt;0,VLOOKUP(C134,C119:E124,3,FALSE),"")</f>
        <v>三輪　楓華</v>
      </c>
      <c r="F134" s="8"/>
      <c r="G134" s="9"/>
      <c r="H134" s="9"/>
      <c r="I134" s="9"/>
      <c r="J134" s="9"/>
      <c r="K134" s="9"/>
      <c r="L134" s="9"/>
      <c r="M134" s="9"/>
      <c r="N134" s="9"/>
      <c r="O134" s="10"/>
    </row>
    <row r="135" spans="1:15" s="11" customFormat="1" ht="10.5">
      <c r="C135" s="29"/>
      <c r="D135" s="30"/>
      <c r="E135" s="31"/>
      <c r="F135" s="12"/>
      <c r="G135" s="12"/>
      <c r="H135" s="12"/>
      <c r="I135" s="12"/>
      <c r="J135" s="12"/>
      <c r="K135" s="12"/>
      <c r="L135" s="12"/>
      <c r="M135" s="12"/>
      <c r="N135" s="12"/>
      <c r="O135" s="13"/>
    </row>
    <row r="136" spans="1:15" s="1" customFormat="1">
      <c r="A136" s="1">
        <v>4</v>
      </c>
      <c r="C136" s="21">
        <f>IF(C124=6,5,IF(C123=5,2,IF(C122=4,2,IF(C121=3,0,0))))</f>
        <v>2</v>
      </c>
      <c r="D136" s="22" t="str">
        <f>IF(C136&gt;0,VLOOKUP(C136,C119:E124,2,FALSE),"")</f>
        <v>長野ジュニア</v>
      </c>
      <c r="E136" s="23" t="str">
        <f>IF(C136&gt;0,VLOOKUP(C136,C119:E124,3,FALSE),"")</f>
        <v>原　悠莉</v>
      </c>
      <c r="F136" s="5"/>
      <c r="G136" s="6"/>
      <c r="H136" s="6"/>
      <c r="I136" s="6"/>
      <c r="J136" s="6"/>
      <c r="K136" s="6"/>
      <c r="L136" s="6"/>
      <c r="M136" s="6"/>
      <c r="N136" s="6"/>
      <c r="O136" s="7"/>
    </row>
    <row r="137" spans="1:15" s="1" customFormat="1">
      <c r="C137" s="24">
        <f>IF(C124=6,6,IF(C123=5,3,IF(C122=4,4,IF(C121=3,0,0))))</f>
        <v>4</v>
      </c>
      <c r="D137" s="25" t="str">
        <f>IF(C137&gt;0,VLOOKUP(C137,C119:E124,2,FALSE),"")</f>
        <v>はしまモア</v>
      </c>
      <c r="E137" s="26" t="str">
        <f>IF(C137&gt;0,VLOOKUP(C137,C119:E124,3,FALSE),"")</f>
        <v>石黒　莉愛</v>
      </c>
      <c r="F137" s="8"/>
      <c r="G137" s="9"/>
      <c r="H137" s="9"/>
      <c r="I137" s="9"/>
      <c r="J137" s="9"/>
      <c r="K137" s="9"/>
      <c r="L137" s="9"/>
      <c r="M137" s="9"/>
      <c r="N137" s="9"/>
      <c r="O137" s="10"/>
    </row>
    <row r="138" spans="1:15" s="11" customFormat="1" ht="10.5">
      <c r="C138" s="29"/>
      <c r="D138" s="30"/>
      <c r="E138" s="31"/>
      <c r="F138" s="12"/>
      <c r="G138" s="12"/>
      <c r="H138" s="12"/>
      <c r="I138" s="12"/>
      <c r="J138" s="12"/>
      <c r="K138" s="12"/>
      <c r="L138" s="12"/>
      <c r="M138" s="12"/>
      <c r="N138" s="12"/>
      <c r="O138" s="13"/>
    </row>
    <row r="139" spans="1:15" s="1" customFormat="1">
      <c r="A139" s="1">
        <v>5</v>
      </c>
      <c r="C139" s="21">
        <f>IF(C124=6,3,IF(C123=5,5,IF(C122=4,3,IF(C121=3,0,0))))</f>
        <v>3</v>
      </c>
      <c r="D139" s="22" t="str">
        <f>IF(C139&gt;0,VLOOKUP(C139,C119:E124,2,FALSE),"")</f>
        <v>養老ＦＣ</v>
      </c>
      <c r="E139" s="23" t="str">
        <f>IF(C139&gt;0,VLOOKUP(C139,C119:E124,3,FALSE),"")</f>
        <v>三輪　楓華</v>
      </c>
      <c r="F139" s="5"/>
      <c r="G139" s="6"/>
      <c r="H139" s="6"/>
      <c r="I139" s="6"/>
      <c r="J139" s="6"/>
      <c r="K139" s="6"/>
      <c r="L139" s="6"/>
      <c r="M139" s="6"/>
      <c r="N139" s="6"/>
      <c r="O139" s="7"/>
    </row>
    <row r="140" spans="1:15" s="1" customFormat="1">
      <c r="C140" s="24">
        <f>IF(C124=6,1,IF(C123=5,4,IF(C122=4,4,IF(C121=3,0,0))))</f>
        <v>4</v>
      </c>
      <c r="D140" s="25" t="str">
        <f>IF(C140&gt;0,VLOOKUP(C140,C119:E124,2,FALSE),"")</f>
        <v>はしまモア</v>
      </c>
      <c r="E140" s="26" t="str">
        <f>IF(C140&gt;0,VLOOKUP(C140,C119:E124,3,FALSE),"")</f>
        <v>石黒　莉愛</v>
      </c>
      <c r="F140" s="8"/>
      <c r="G140" s="9"/>
      <c r="H140" s="9"/>
      <c r="I140" s="9"/>
      <c r="J140" s="9"/>
      <c r="K140" s="9"/>
      <c r="L140" s="9"/>
      <c r="M140" s="9"/>
      <c r="N140" s="9"/>
      <c r="O140" s="10"/>
    </row>
    <row r="141" spans="1:15" s="11" customFormat="1" ht="10.5">
      <c r="C141" s="29"/>
      <c r="D141" s="30"/>
      <c r="E141" s="31"/>
      <c r="F141" s="12"/>
      <c r="G141" s="12"/>
      <c r="H141" s="12"/>
      <c r="I141" s="12"/>
      <c r="J141" s="12"/>
      <c r="K141" s="12"/>
      <c r="L141" s="12"/>
      <c r="M141" s="12"/>
      <c r="N141" s="12"/>
      <c r="O141" s="13"/>
    </row>
    <row r="142" spans="1:15" s="1" customFormat="1">
      <c r="A142" s="1">
        <v>6</v>
      </c>
      <c r="C142" s="21">
        <f>IF(C124=6,6,IF(C123=5,1,IF(C122=4,1,IF(C121=3,0,0))))</f>
        <v>1</v>
      </c>
      <c r="D142" s="22" t="str">
        <f>IF(C142&gt;0,VLOOKUP(C142,C119:E124,2,FALSE),"")</f>
        <v>京都フューチャー</v>
      </c>
      <c r="E142" s="23" t="str">
        <f>IF(C142&gt;0,VLOOKUP(C142,C119:E124,3,FALSE),"")</f>
        <v>熊本　詩乃</v>
      </c>
      <c r="F142" s="5"/>
      <c r="G142" s="6"/>
      <c r="H142" s="6"/>
      <c r="I142" s="6"/>
      <c r="J142" s="6"/>
      <c r="K142" s="6"/>
      <c r="L142" s="6"/>
      <c r="M142" s="6"/>
      <c r="N142" s="6"/>
      <c r="O142" s="7"/>
    </row>
    <row r="143" spans="1:15" s="1" customFormat="1">
      <c r="C143" s="24">
        <f>IF(C124=6,4,IF(C123=5,3,IF(C122=4,2,IF(C121=3,0,0))))</f>
        <v>2</v>
      </c>
      <c r="D143" s="25" t="str">
        <f>IF(C143&gt;0,VLOOKUP(C143,C119:E124,2,FALSE),"")</f>
        <v>長野ジュニア</v>
      </c>
      <c r="E143" s="26" t="str">
        <f>IF(C143&gt;0,VLOOKUP(C143,C119:E124,3,FALSE),"")</f>
        <v>原　悠莉</v>
      </c>
      <c r="F143" s="8"/>
      <c r="G143" s="9"/>
      <c r="H143" s="9"/>
      <c r="I143" s="9"/>
      <c r="J143" s="9"/>
      <c r="K143" s="9"/>
      <c r="L143" s="9"/>
      <c r="M143" s="9"/>
      <c r="N143" s="9"/>
      <c r="O143" s="10"/>
    </row>
    <row r="144" spans="1:15" s="11" customFormat="1" ht="10.5">
      <c r="C144" s="29"/>
      <c r="D144" s="30"/>
      <c r="E144" s="31"/>
      <c r="F144" s="12"/>
      <c r="G144" s="12"/>
      <c r="H144" s="12"/>
      <c r="I144" s="12"/>
      <c r="J144" s="12"/>
      <c r="K144" s="12"/>
      <c r="L144" s="12"/>
      <c r="M144" s="12"/>
      <c r="N144" s="12"/>
      <c r="O144" s="13"/>
    </row>
    <row r="145" spans="1:15" s="1" customFormat="1">
      <c r="A145" s="1">
        <v>7</v>
      </c>
      <c r="C145" s="21">
        <f>IF(C124=6,2,IF(C123=5,2,IF(C122=4,0,0)))</f>
        <v>0</v>
      </c>
      <c r="D145" s="22" t="str">
        <f>IF(C145&gt;0,VLOOKUP(C145,C119:E124,2,FALSE),"")</f>
        <v/>
      </c>
      <c r="E145" s="23" t="str">
        <f>IF(C145&gt;0,VLOOKUP(C145,C119:E124,3,FALSE),"")</f>
        <v/>
      </c>
      <c r="F145" s="5"/>
      <c r="G145" s="6"/>
      <c r="H145" s="6"/>
      <c r="I145" s="6"/>
      <c r="J145" s="6"/>
      <c r="K145" s="6"/>
      <c r="L145" s="6"/>
      <c r="M145" s="6"/>
      <c r="N145" s="6"/>
      <c r="O145" s="7"/>
    </row>
    <row r="146" spans="1:15" s="1" customFormat="1">
      <c r="C146" s="24">
        <f>IF(C124=6,5,IF(C123=5,5,IF(C122=4,0,0)))</f>
        <v>0</v>
      </c>
      <c r="D146" s="25" t="str">
        <f>IF(C146&gt;0,VLOOKUP(C146,C119:E124,2,FALSE),"")</f>
        <v/>
      </c>
      <c r="E146" s="26" t="str">
        <f>IF(C146&gt;0,VLOOKUP(C146,C119:E124,3,FALSE),"")</f>
        <v/>
      </c>
      <c r="F146" s="8"/>
      <c r="G146" s="9"/>
      <c r="H146" s="9"/>
      <c r="I146" s="9"/>
      <c r="J146" s="9"/>
      <c r="K146" s="9"/>
      <c r="L146" s="9"/>
      <c r="M146" s="9"/>
      <c r="N146" s="9"/>
      <c r="O146" s="10"/>
    </row>
    <row r="147" spans="1:15" s="11" customFormat="1" ht="10.5">
      <c r="C147" s="29"/>
      <c r="D147" s="30"/>
      <c r="E147" s="31"/>
      <c r="F147" s="12"/>
      <c r="G147" s="12"/>
      <c r="H147" s="12"/>
      <c r="I147" s="12"/>
      <c r="J147" s="12"/>
      <c r="K147" s="12"/>
      <c r="L147" s="12"/>
      <c r="M147" s="12"/>
      <c r="N147" s="12"/>
      <c r="O147" s="13"/>
    </row>
    <row r="148" spans="1:15" s="1" customFormat="1">
      <c r="A148" s="1">
        <v>8</v>
      </c>
      <c r="C148" s="21">
        <f>IF(C124=6,1,IF(C123=5,4,IF(C122=4,0,0)))</f>
        <v>0</v>
      </c>
      <c r="D148" s="22" t="str">
        <f>IF(C148&gt;0,VLOOKUP(C148,C119:E124,2,FALSE),"")</f>
        <v/>
      </c>
      <c r="E148" s="23" t="str">
        <f>IF(C148&gt;0,VLOOKUP(C148,C119:E124,3,FALSE),"")</f>
        <v/>
      </c>
      <c r="F148" s="5"/>
      <c r="G148" s="6"/>
      <c r="H148" s="6"/>
      <c r="I148" s="6"/>
      <c r="J148" s="6"/>
      <c r="K148" s="6"/>
      <c r="L148" s="6"/>
      <c r="M148" s="6"/>
      <c r="N148" s="6"/>
      <c r="O148" s="7"/>
    </row>
    <row r="149" spans="1:15" s="1" customFormat="1">
      <c r="C149" s="24">
        <f>IF(C124=6,4,IF(C123=5,1,IF(C122=4,0,0)))</f>
        <v>0</v>
      </c>
      <c r="D149" s="25" t="str">
        <f>IF(C149&gt;0,VLOOKUP(C149,C119:E124,2,FALSE),"")</f>
        <v/>
      </c>
      <c r="E149" s="26" t="str">
        <f>IF(C149&gt;0,VLOOKUP(C149,C119:E124,3,FALSE),"")</f>
        <v/>
      </c>
      <c r="F149" s="8"/>
      <c r="G149" s="9"/>
      <c r="H149" s="9"/>
      <c r="I149" s="9"/>
      <c r="J149" s="9"/>
      <c r="K149" s="9"/>
      <c r="L149" s="9"/>
      <c r="M149" s="9"/>
      <c r="N149" s="9"/>
      <c r="O149" s="10"/>
    </row>
    <row r="150" spans="1:15" s="11" customFormat="1" ht="10.5">
      <c r="C150" s="29"/>
      <c r="D150" s="30"/>
      <c r="E150" s="31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1:15" s="1" customFormat="1">
      <c r="A151" s="1">
        <v>9</v>
      </c>
      <c r="C151" s="21">
        <f>IF(C124=6,5,IF(C123=5,3,IF(C122=4,0,0)))</f>
        <v>0</v>
      </c>
      <c r="D151" s="22" t="str">
        <f>IF(C151&gt;0,VLOOKUP(C151,C119:E124,2,FALSE),"")</f>
        <v/>
      </c>
      <c r="E151" s="23" t="str">
        <f>IF(C151&gt;0,VLOOKUP(C151,C119:E124,3,FALSE),"")</f>
        <v/>
      </c>
      <c r="F151" s="5"/>
      <c r="G151" s="6"/>
      <c r="H151" s="6"/>
      <c r="I151" s="6"/>
      <c r="J151" s="6"/>
      <c r="K151" s="6"/>
      <c r="L151" s="6"/>
      <c r="M151" s="6"/>
      <c r="N151" s="6"/>
      <c r="O151" s="7"/>
    </row>
    <row r="152" spans="1:15" s="1" customFormat="1">
      <c r="C152" s="24">
        <f>IF(C124=6,3,IF(C123=5,5,IF(C122=4,0,0)))</f>
        <v>0</v>
      </c>
      <c r="D152" s="25" t="str">
        <f>IF(C152&gt;0,VLOOKUP(C152,C119:E124,2,FALSE),"")</f>
        <v/>
      </c>
      <c r="E152" s="26" t="str">
        <f>IF(C152&gt;0,VLOOKUP(C152,C119:E124,3,FALSE),"")</f>
        <v/>
      </c>
      <c r="F152" s="8"/>
      <c r="G152" s="9"/>
      <c r="H152" s="9"/>
      <c r="I152" s="9"/>
      <c r="J152" s="9"/>
      <c r="K152" s="9"/>
      <c r="L152" s="9"/>
      <c r="M152" s="9"/>
      <c r="N152" s="9"/>
      <c r="O152" s="10"/>
    </row>
    <row r="153" spans="1:15" s="11" customFormat="1" ht="10.5">
      <c r="C153" s="29"/>
      <c r="D153" s="30"/>
      <c r="E153" s="31"/>
      <c r="F153" s="12"/>
      <c r="G153" s="12"/>
      <c r="H153" s="12"/>
      <c r="I153" s="12"/>
      <c r="J153" s="12"/>
      <c r="K153" s="12"/>
      <c r="L153" s="12"/>
      <c r="M153" s="12"/>
      <c r="N153" s="12"/>
      <c r="O153" s="13"/>
    </row>
    <row r="154" spans="1:15" s="1" customFormat="1">
      <c r="A154" s="1">
        <v>10</v>
      </c>
      <c r="C154" s="21">
        <f>IF(C124=6,1,IF(C123=5,4,IF(C122=4,0,0)))</f>
        <v>0</v>
      </c>
      <c r="D154" s="22" t="str">
        <f>IF(C154&gt;0,VLOOKUP(C154,C119:E124,2,FALSE),"")</f>
        <v/>
      </c>
      <c r="E154" s="23" t="str">
        <f>IF(C154&gt;0,VLOOKUP(C154,C119:E124,3,FALSE),"")</f>
        <v/>
      </c>
      <c r="F154" s="5"/>
      <c r="G154" s="6"/>
      <c r="H154" s="6"/>
      <c r="I154" s="6"/>
      <c r="J154" s="6"/>
      <c r="K154" s="6"/>
      <c r="L154" s="6"/>
      <c r="M154" s="6"/>
      <c r="N154" s="6"/>
      <c r="O154" s="7"/>
    </row>
    <row r="155" spans="1:15" s="1" customFormat="1">
      <c r="C155" s="24">
        <f>IF(C124=6,6,IF(C123=5,2,IF(C122=4,0,0)))</f>
        <v>0</v>
      </c>
      <c r="D155" s="25" t="str">
        <f>IF(C155&gt;0,VLOOKUP(C155,C119:E124,2,FALSE),"")</f>
        <v/>
      </c>
      <c r="E155" s="26" t="str">
        <f>IF(C155&gt;0,VLOOKUP(C155,C119:E124,3,FALSE),"")</f>
        <v/>
      </c>
      <c r="F155" s="8"/>
      <c r="G155" s="9"/>
      <c r="H155" s="9"/>
      <c r="I155" s="9"/>
      <c r="J155" s="9"/>
      <c r="K155" s="9"/>
      <c r="L155" s="9"/>
      <c r="M155" s="9"/>
      <c r="N155" s="9"/>
      <c r="O155" s="10"/>
    </row>
    <row r="156" spans="1:15" s="11" customFormat="1" ht="10.5">
      <c r="C156" s="29"/>
      <c r="D156" s="30"/>
      <c r="E156" s="31"/>
      <c r="F156" s="12"/>
      <c r="G156" s="12"/>
      <c r="H156" s="12"/>
      <c r="I156" s="12"/>
      <c r="J156" s="12"/>
      <c r="K156" s="12"/>
      <c r="L156" s="12"/>
      <c r="M156" s="12"/>
      <c r="N156" s="12"/>
      <c r="O156" s="13"/>
    </row>
    <row r="157" spans="1:15" s="1" customFormat="1">
      <c r="A157" s="1">
        <v>11</v>
      </c>
      <c r="C157" s="21">
        <f>IF(C124=6,4,0)</f>
        <v>0</v>
      </c>
      <c r="D157" s="22" t="str">
        <f>IF(C157&gt;0,VLOOKUP(C157,C119:E124,2,FALSE),"")</f>
        <v/>
      </c>
      <c r="E157" s="23" t="str">
        <f>IF(C157&gt;0,VLOOKUP(C157,C119:E124,3,FALSE),"")</f>
        <v/>
      </c>
      <c r="F157" s="5"/>
      <c r="G157" s="6"/>
      <c r="H157" s="6"/>
      <c r="I157" s="6"/>
      <c r="J157" s="6"/>
      <c r="K157" s="6"/>
      <c r="L157" s="6"/>
      <c r="M157" s="6"/>
      <c r="N157" s="6"/>
      <c r="O157" s="7"/>
    </row>
    <row r="158" spans="1:15" s="1" customFormat="1">
      <c r="C158" s="24">
        <f>IF(C124=6,2,0)</f>
        <v>0</v>
      </c>
      <c r="D158" s="25" t="str">
        <f>IF(C158&gt;0,VLOOKUP(C158,C119:E124,2,FALSE),"")</f>
        <v/>
      </c>
      <c r="E158" s="26" t="str">
        <f>IF(C158&gt;0,VLOOKUP(C158,C119:E124,3,FALSE),"")</f>
        <v/>
      </c>
      <c r="F158" s="8"/>
      <c r="G158" s="9"/>
      <c r="H158" s="9"/>
      <c r="I158" s="9"/>
      <c r="J158" s="9"/>
      <c r="K158" s="9"/>
      <c r="L158" s="9"/>
      <c r="M158" s="9"/>
      <c r="N158" s="9"/>
      <c r="O158" s="10"/>
    </row>
    <row r="159" spans="1:15" s="11" customFormat="1" ht="10.5">
      <c r="C159" s="29"/>
      <c r="D159" s="30"/>
      <c r="E159" s="31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1:15" s="1" customFormat="1">
      <c r="A160" s="1">
        <v>12</v>
      </c>
      <c r="C160" s="21">
        <f>IF(C124=6,3,0)</f>
        <v>0</v>
      </c>
      <c r="D160" s="22" t="str">
        <f>IF(C160&gt;0,VLOOKUP(C160,C119:E124,2,FALSE),"")</f>
        <v/>
      </c>
      <c r="E160" s="23" t="str">
        <f>IF(C160&gt;0,VLOOKUP(C160,C119:E124,3,FALSE),"")</f>
        <v/>
      </c>
      <c r="F160" s="5"/>
      <c r="G160" s="6"/>
      <c r="H160" s="6"/>
      <c r="I160" s="6"/>
      <c r="J160" s="6"/>
      <c r="K160" s="6"/>
      <c r="L160" s="6"/>
      <c r="M160" s="6"/>
      <c r="N160" s="6"/>
      <c r="O160" s="7"/>
    </row>
    <row r="161" spans="1:16" s="1" customFormat="1" ht="13.5" customHeight="1">
      <c r="C161" s="24">
        <f>IF(C124=6,6,0)</f>
        <v>0</v>
      </c>
      <c r="D161" s="25" t="str">
        <f>IF(C161&gt;0,VLOOKUP(C161,C119:E124,2,FALSE),"")</f>
        <v/>
      </c>
      <c r="E161" s="26" t="str">
        <f>IF(C161&gt;0,VLOOKUP(C161,C119:E124,3,FALSE),"")</f>
        <v/>
      </c>
      <c r="F161" s="8"/>
      <c r="G161" s="9"/>
      <c r="H161" s="9"/>
      <c r="I161" s="9"/>
      <c r="J161" s="9"/>
      <c r="K161" s="9"/>
      <c r="L161" s="9"/>
      <c r="M161" s="9"/>
      <c r="N161" s="9"/>
      <c r="O161" s="10"/>
    </row>
    <row r="162" spans="1:16" s="11" customFormat="1" ht="10.5">
      <c r="C162" s="29"/>
      <c r="D162" s="30"/>
      <c r="E162" s="31"/>
      <c r="F162" s="12"/>
      <c r="G162" s="12"/>
      <c r="H162" s="12"/>
      <c r="I162" s="12"/>
      <c r="J162" s="12"/>
      <c r="K162" s="12"/>
      <c r="L162" s="12"/>
      <c r="M162" s="12"/>
      <c r="N162" s="12"/>
      <c r="O162" s="13"/>
    </row>
    <row r="163" spans="1:16" s="1" customFormat="1">
      <c r="A163" s="1">
        <v>13</v>
      </c>
      <c r="C163" s="21">
        <f>IF(C124=6,5,0)</f>
        <v>0</v>
      </c>
      <c r="D163" s="22" t="str">
        <f>IF(C163&gt;0,VLOOKUP(C163,C119:E124,2,FALSE),"")</f>
        <v/>
      </c>
      <c r="E163" s="23" t="str">
        <f>IF(C163&gt;0,VLOOKUP(C163,C119:E124,3,FALSE),"")</f>
        <v/>
      </c>
      <c r="F163" s="5"/>
      <c r="G163" s="6"/>
      <c r="H163" s="6"/>
      <c r="I163" s="6"/>
      <c r="J163" s="6"/>
      <c r="K163" s="6"/>
      <c r="L163" s="6"/>
      <c r="M163" s="6"/>
      <c r="N163" s="6"/>
      <c r="O163" s="7"/>
    </row>
    <row r="164" spans="1:16" s="1" customFormat="1">
      <c r="C164" s="24">
        <f>IF(C124=6,1,0)</f>
        <v>0</v>
      </c>
      <c r="D164" s="25" t="str">
        <f>IF(C164&gt;0,VLOOKUP(C164,C119:E124,2,FALSE),"")</f>
        <v/>
      </c>
      <c r="E164" s="26" t="str">
        <f>IF(C164&gt;0,VLOOKUP(C164,C119:E124,3,FALSE),"")</f>
        <v/>
      </c>
      <c r="F164" s="8"/>
      <c r="G164" s="9"/>
      <c r="H164" s="9"/>
      <c r="I164" s="9"/>
      <c r="J164" s="9"/>
      <c r="K164" s="9"/>
      <c r="L164" s="9"/>
      <c r="M164" s="9"/>
      <c r="N164" s="9"/>
      <c r="O164" s="10"/>
    </row>
    <row r="165" spans="1:16" s="11" customFormat="1" ht="10.5">
      <c r="C165" s="29"/>
      <c r="D165" s="30"/>
      <c r="E165" s="31"/>
      <c r="F165" s="12"/>
      <c r="G165" s="12"/>
      <c r="H165" s="12"/>
      <c r="I165" s="12"/>
      <c r="J165" s="12"/>
      <c r="K165" s="12"/>
      <c r="L165" s="12"/>
      <c r="M165" s="12"/>
      <c r="N165" s="12"/>
      <c r="O165" s="13"/>
    </row>
    <row r="166" spans="1:16" s="1" customFormat="1">
      <c r="A166" s="1">
        <v>14</v>
      </c>
      <c r="C166" s="21">
        <f>IF(C124=6,3,0)</f>
        <v>0</v>
      </c>
      <c r="D166" s="22" t="str">
        <f>IF(C166&gt;0,VLOOKUP(C166,C119:E124,2,FALSE),"")</f>
        <v/>
      </c>
      <c r="E166" s="23" t="str">
        <f>IF(C166&gt;0,VLOOKUP(C166,C119:E124,3,FALSE),"")</f>
        <v/>
      </c>
      <c r="F166" s="5"/>
      <c r="G166" s="6"/>
      <c r="H166" s="6"/>
      <c r="I166" s="6"/>
      <c r="J166" s="6"/>
      <c r="K166" s="6"/>
      <c r="L166" s="6"/>
      <c r="M166" s="6"/>
      <c r="N166" s="6"/>
      <c r="O166" s="7"/>
    </row>
    <row r="167" spans="1:16" s="1" customFormat="1">
      <c r="C167" s="24">
        <f>IF(C124=6,4,0)</f>
        <v>0</v>
      </c>
      <c r="D167" s="25" t="str">
        <f>IF(C167&gt;0,VLOOKUP(C167,C119:E124,2,FALSE),"")</f>
        <v/>
      </c>
      <c r="E167" s="26" t="str">
        <f>IF(C167&gt;0,VLOOKUP(C167,C119:E124,3,FALSE),"")</f>
        <v/>
      </c>
      <c r="F167" s="8"/>
      <c r="G167" s="9"/>
      <c r="H167" s="9"/>
      <c r="I167" s="9"/>
      <c r="J167" s="9"/>
      <c r="K167" s="9"/>
      <c r="L167" s="9"/>
      <c r="M167" s="9"/>
      <c r="N167" s="9"/>
      <c r="O167" s="10"/>
    </row>
    <row r="168" spans="1:16" s="11" customFormat="1" ht="10.5">
      <c r="C168" s="29"/>
      <c r="D168" s="30"/>
      <c r="E168" s="31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1:16" s="1" customFormat="1">
      <c r="A169" s="1">
        <v>15</v>
      </c>
      <c r="C169" s="21">
        <f>IF(C124=6,6,0)</f>
        <v>0</v>
      </c>
      <c r="D169" s="22" t="str">
        <f>IF(C169&gt;0,VLOOKUP(C169,C119:E124,2,FALSE),"")</f>
        <v/>
      </c>
      <c r="E169" s="23" t="str">
        <f>IF(C169&gt;0,VLOOKUP(C169,C119:E124,3,FALSE),"")</f>
        <v/>
      </c>
      <c r="F169" s="5"/>
      <c r="G169" s="6"/>
      <c r="H169" s="6"/>
      <c r="I169" s="6"/>
      <c r="J169" s="6"/>
      <c r="K169" s="6"/>
      <c r="L169" s="6"/>
      <c r="M169" s="6"/>
      <c r="N169" s="6"/>
      <c r="O169" s="7"/>
    </row>
    <row r="170" spans="1:16" s="1" customFormat="1">
      <c r="C170" s="24">
        <f>IF(C124=6,2,0)</f>
        <v>0</v>
      </c>
      <c r="D170" s="25" t="str">
        <f>IF(C170&gt;0,VLOOKUP(C170,C119:E124,2,FALSE),"")</f>
        <v/>
      </c>
      <c r="E170" s="26" t="str">
        <f>IF(C170&gt;0,VLOOKUP(C170,C119:E124,3,FALSE),"")</f>
        <v/>
      </c>
      <c r="F170" s="8"/>
      <c r="G170" s="9"/>
      <c r="H170" s="9"/>
      <c r="I170" s="9"/>
      <c r="J170" s="9"/>
      <c r="K170" s="9"/>
      <c r="L170" s="9"/>
      <c r="M170" s="9"/>
      <c r="N170" s="9"/>
      <c r="O170" s="10"/>
    </row>
    <row r="171" spans="1:16" s="83" customFormat="1" ht="10.5">
      <c r="C171" s="86"/>
      <c r="D171" s="32"/>
      <c r="E171" s="33"/>
      <c r="F171" s="87"/>
      <c r="G171" s="87"/>
      <c r="H171" s="87"/>
      <c r="I171" s="87"/>
      <c r="J171" s="87"/>
      <c r="K171" s="87"/>
      <c r="L171" s="87"/>
      <c r="M171" s="87"/>
      <c r="N171" s="87"/>
      <c r="O171" s="88"/>
    </row>
    <row r="172" spans="1:16" s="36" customFormat="1" ht="17.25">
      <c r="A172" s="278" t="str">
        <f>名簿!$A$1</f>
        <v>第9回川本杯はしまモアフェンシング大会</v>
      </c>
      <c r="B172" s="278"/>
      <c r="C172" s="278"/>
      <c r="D172" s="278"/>
      <c r="E172" s="278"/>
      <c r="F172" s="278"/>
      <c r="G172" s="278"/>
      <c r="H172" s="278"/>
      <c r="I172" s="278"/>
      <c r="J172" s="279"/>
      <c r="K172" s="227" t="s">
        <v>53</v>
      </c>
      <c r="L172" s="272" t="s">
        <v>54</v>
      </c>
      <c r="M172" s="272"/>
      <c r="N172" s="272"/>
      <c r="O172" s="273"/>
    </row>
    <row r="173" spans="1:16" s="37" customFormat="1" ht="14.25">
      <c r="A173" s="276" t="str">
        <f>"　"&amp;名簿!$A$2</f>
        <v>　小学1-3年女子</v>
      </c>
      <c r="B173" s="276"/>
      <c r="C173" s="276"/>
      <c r="D173" s="276"/>
      <c r="E173" s="276"/>
      <c r="F173" s="276"/>
      <c r="G173" s="276"/>
      <c r="H173" s="276"/>
      <c r="I173" s="276"/>
      <c r="J173" s="277"/>
      <c r="K173" s="228"/>
      <c r="L173" s="274" t="s">
        <v>55</v>
      </c>
      <c r="M173" s="274"/>
      <c r="N173" s="274"/>
      <c r="O173" s="275"/>
    </row>
    <row r="174" spans="1:16" s="37" customFormat="1" ht="14.25">
      <c r="A174" s="268" t="str">
        <f>"　　"&amp;名簿!$A$3</f>
        <v>　　1回戦</v>
      </c>
      <c r="B174" s="268"/>
      <c r="C174" s="268"/>
      <c r="D174" s="268"/>
      <c r="E174" s="268"/>
      <c r="K174" s="269">
        <f>名簿!$E$3</f>
        <v>43184</v>
      </c>
      <c r="L174" s="269"/>
      <c r="M174" s="269"/>
      <c r="N174" s="269"/>
      <c r="O174" s="269"/>
    </row>
    <row r="175" spans="1:16">
      <c r="A175" s="38" t="s">
        <v>36</v>
      </c>
      <c r="B175" s="39" t="s">
        <v>13</v>
      </c>
      <c r="C175" s="40" t="s">
        <v>0</v>
      </c>
      <c r="D175" s="41" t="s">
        <v>7</v>
      </c>
      <c r="E175" s="42" t="s">
        <v>8</v>
      </c>
      <c r="F175" s="43">
        <v>1</v>
      </c>
      <c r="G175" s="44">
        <v>2</v>
      </c>
      <c r="H175" s="44">
        <v>3</v>
      </c>
      <c r="I175" s="44">
        <v>4</v>
      </c>
      <c r="J175" s="44">
        <v>5</v>
      </c>
      <c r="K175" s="45">
        <v>6</v>
      </c>
      <c r="L175" s="46" t="s">
        <v>37</v>
      </c>
      <c r="M175" s="47" t="s">
        <v>38</v>
      </c>
      <c r="N175" s="270" t="s">
        <v>6</v>
      </c>
      <c r="O175" s="271"/>
      <c r="P175" s="48"/>
    </row>
    <row r="176" spans="1:16" ht="18" customHeight="1">
      <c r="A176" s="50">
        <f>'予選 Ｐ'!A23</f>
        <v>4</v>
      </c>
      <c r="B176" s="51">
        <f>'予選 Ｐ'!B23</f>
        <v>4</v>
      </c>
      <c r="C176" s="52">
        <f>'予選 Ｐ'!C23</f>
        <v>1</v>
      </c>
      <c r="D176" s="14" t="str">
        <f>'予選 Ｐ'!E23</f>
        <v>はしまモア</v>
      </c>
      <c r="E176" s="15" t="str">
        <f>'予選 Ｐ'!F23</f>
        <v>髙橋　ののか</v>
      </c>
      <c r="F176" s="53"/>
      <c r="G176" s="54"/>
      <c r="H176" s="54"/>
      <c r="I176" s="54"/>
      <c r="J176" s="54"/>
      <c r="K176" s="55"/>
      <c r="L176" s="56"/>
      <c r="M176" s="57"/>
      <c r="N176" s="58"/>
      <c r="O176" s="59"/>
      <c r="P176" s="60"/>
    </row>
    <row r="177" spans="1:16" ht="18" customHeight="1">
      <c r="A177" s="61">
        <f>'予選 Ｐ'!A24</f>
        <v>4</v>
      </c>
      <c r="B177" s="62">
        <f>'予選 Ｐ'!B24</f>
        <v>5</v>
      </c>
      <c r="C177" s="63">
        <f>'予選 Ｐ'!C24</f>
        <v>2</v>
      </c>
      <c r="D177" s="16" t="str">
        <f>'予選 Ｐ'!E24</f>
        <v>長野ジュニア</v>
      </c>
      <c r="E177" s="15" t="str">
        <f>'予選 Ｐ'!F24</f>
        <v>田中　鈴音</v>
      </c>
      <c r="F177" s="64"/>
      <c r="G177" s="65"/>
      <c r="H177" s="66"/>
      <c r="I177" s="66"/>
      <c r="J177" s="66"/>
      <c r="K177" s="67"/>
      <c r="L177" s="68"/>
      <c r="M177" s="69"/>
      <c r="N177" s="70"/>
      <c r="O177" s="71"/>
      <c r="P177" s="60"/>
    </row>
    <row r="178" spans="1:16" ht="18" customHeight="1">
      <c r="A178" s="61">
        <f>'予選 Ｐ'!A25</f>
        <v>4</v>
      </c>
      <c r="B178" s="62">
        <f>'予選 Ｐ'!B25</f>
        <v>9</v>
      </c>
      <c r="C178" s="63">
        <f>'予選 Ｐ'!C25</f>
        <v>3</v>
      </c>
      <c r="D178" s="16" t="str">
        <f>'予選 Ｐ'!E25</f>
        <v>和東Ｊｒ</v>
      </c>
      <c r="E178" s="15" t="str">
        <f>'予選 Ｐ'!F25</f>
        <v>鵜本　翠</v>
      </c>
      <c r="F178" s="64"/>
      <c r="G178" s="66"/>
      <c r="H178" s="65"/>
      <c r="I178" s="66"/>
      <c r="J178" s="66"/>
      <c r="K178" s="67"/>
      <c r="L178" s="68"/>
      <c r="M178" s="69"/>
      <c r="N178" s="70"/>
      <c r="O178" s="71"/>
      <c r="P178" s="60"/>
    </row>
    <row r="179" spans="1:16" ht="18" customHeight="1">
      <c r="A179" s="61">
        <f>'予選 Ｐ'!A26</f>
        <v>4</v>
      </c>
      <c r="B179" s="62">
        <f>IF('予選 Ｐ'!B26="","",'予選 Ｐ'!B26)</f>
        <v>13</v>
      </c>
      <c r="C179" s="63">
        <f>'予選 Ｐ'!C26</f>
        <v>4</v>
      </c>
      <c r="D179" s="16" t="str">
        <f>'予選 Ｐ'!E26</f>
        <v>はしまモア</v>
      </c>
      <c r="E179" s="15" t="str">
        <f>'予選 Ｐ'!F26</f>
        <v>後藤　結衣</v>
      </c>
      <c r="F179" s="64"/>
      <c r="G179" s="66"/>
      <c r="H179" s="66"/>
      <c r="I179" s="65"/>
      <c r="J179" s="66"/>
      <c r="K179" s="67"/>
      <c r="L179" s="68"/>
      <c r="M179" s="69"/>
      <c r="N179" s="70"/>
      <c r="O179" s="71"/>
      <c r="P179" s="60"/>
    </row>
    <row r="180" spans="1:16" ht="18" customHeight="1">
      <c r="A180" s="61" t="str">
        <f>'予選 Ｐ'!A27</f>
        <v/>
      </c>
      <c r="B180" s="62" t="str">
        <f>IF('予選 Ｐ'!B27="","",'予選 Ｐ'!B27)</f>
        <v/>
      </c>
      <c r="C180" s="63" t="str">
        <f>'予選 Ｐ'!C27</f>
        <v/>
      </c>
      <c r="D180" s="16" t="str">
        <f>'予選 Ｐ'!E27</f>
        <v/>
      </c>
      <c r="E180" s="15" t="str">
        <f>'予選 Ｐ'!F27</f>
        <v/>
      </c>
      <c r="F180" s="64"/>
      <c r="G180" s="66"/>
      <c r="H180" s="66"/>
      <c r="I180" s="66"/>
      <c r="J180" s="65"/>
      <c r="K180" s="67"/>
      <c r="L180" s="68"/>
      <c r="M180" s="69"/>
      <c r="N180" s="70"/>
      <c r="O180" s="71"/>
      <c r="P180" s="60"/>
    </row>
    <row r="181" spans="1:16" ht="18" customHeight="1">
      <c r="A181" s="72" t="str">
        <f>'予選 Ｐ'!A28</f>
        <v/>
      </c>
      <c r="B181" s="73" t="str">
        <f>IF('予選 Ｐ'!B28="","",'予選 Ｐ'!B28)</f>
        <v/>
      </c>
      <c r="C181" s="74" t="str">
        <f>'予選 Ｐ'!C28</f>
        <v/>
      </c>
      <c r="D181" s="17" t="str">
        <f>'予選 Ｐ'!E28</f>
        <v/>
      </c>
      <c r="E181" s="75" t="str">
        <f>'予選 Ｐ'!F28</f>
        <v/>
      </c>
      <c r="F181" s="76"/>
      <c r="G181" s="77"/>
      <c r="H181" s="77"/>
      <c r="I181" s="77"/>
      <c r="J181" s="77"/>
      <c r="K181" s="78"/>
      <c r="L181" s="79"/>
      <c r="M181" s="80"/>
      <c r="N181" s="81"/>
      <c r="O181" s="82"/>
      <c r="P181" s="60"/>
    </row>
    <row r="182" spans="1:16" s="83" customFormat="1" ht="10.5">
      <c r="D182" s="84"/>
      <c r="E182" s="85"/>
    </row>
    <row r="183" spans="1:16" s="1" customFormat="1">
      <c r="C183" s="18" t="s">
        <v>29</v>
      </c>
      <c r="D183" s="19" t="s">
        <v>16</v>
      </c>
      <c r="E183" s="20" t="s">
        <v>8</v>
      </c>
      <c r="F183" s="2">
        <v>1</v>
      </c>
      <c r="G183" s="3">
        <v>2</v>
      </c>
      <c r="H183" s="3">
        <v>3</v>
      </c>
      <c r="I183" s="3">
        <v>4</v>
      </c>
      <c r="J183" s="3">
        <v>5</v>
      </c>
      <c r="K183" s="3">
        <v>6</v>
      </c>
      <c r="L183" s="3">
        <v>7</v>
      </c>
      <c r="M183" s="3">
        <v>8</v>
      </c>
      <c r="N183" s="3">
        <v>9</v>
      </c>
      <c r="O183" s="4" t="s">
        <v>5</v>
      </c>
    </row>
    <row r="184" spans="1:16" s="1" customFormat="1">
      <c r="A184" s="1">
        <v>1</v>
      </c>
      <c r="C184" s="21">
        <v>1</v>
      </c>
      <c r="D184" s="22" t="str">
        <f>IF(C184&gt;0,VLOOKUP(C184,C176:E181,2,FALSE),"")</f>
        <v>はしまモア</v>
      </c>
      <c r="E184" s="23" t="str">
        <f>IF(C184&gt;0,VLOOKUP(C184,C176:E181,3,FALSE),"")</f>
        <v>髙橋　ののか</v>
      </c>
      <c r="F184" s="5"/>
      <c r="G184" s="6"/>
      <c r="H184" s="6"/>
      <c r="I184" s="6"/>
      <c r="J184" s="6"/>
      <c r="K184" s="6"/>
      <c r="L184" s="6"/>
      <c r="M184" s="6"/>
      <c r="N184" s="6"/>
      <c r="O184" s="7"/>
    </row>
    <row r="185" spans="1:16" s="1" customFormat="1">
      <c r="C185" s="24">
        <f>IF(C181=6,2,IF(C180=5,2,IF(C179=4,4,IF(C178=3,3))))</f>
        <v>4</v>
      </c>
      <c r="D185" s="25" t="str">
        <f>IF(C185&gt;0,VLOOKUP(C185,C176:E181,2,FALSE),"")</f>
        <v>はしまモア</v>
      </c>
      <c r="E185" s="26" t="str">
        <f>IF(C185&gt;0,VLOOKUP(C185,C176:E181,3,FALSE),"")</f>
        <v>後藤　結衣</v>
      </c>
      <c r="F185" s="8"/>
      <c r="G185" s="9"/>
      <c r="H185" s="9"/>
      <c r="I185" s="9"/>
      <c r="J185" s="9"/>
      <c r="K185" s="9"/>
      <c r="L185" s="9"/>
      <c r="M185" s="9"/>
      <c r="N185" s="9"/>
      <c r="O185" s="10"/>
    </row>
    <row r="186" spans="1:16" s="11" customFormat="1" ht="10.5">
      <c r="D186" s="27"/>
      <c r="E186" s="28"/>
    </row>
    <row r="187" spans="1:16" s="1" customFormat="1">
      <c r="A187" s="1">
        <v>2</v>
      </c>
      <c r="C187" s="21">
        <f>IF(C181=6,4,IF(C180=5,3,IF(C179=4,2,IF(C178=3,2))))</f>
        <v>2</v>
      </c>
      <c r="D187" s="22" t="str">
        <f>IF(C187&gt;0,VLOOKUP(C187,C176:E181,2,FALSE),"")</f>
        <v>長野ジュニア</v>
      </c>
      <c r="E187" s="23" t="str">
        <f>IF(C187&gt;0,VLOOKUP(C187,C176:E181,3,FALSE),"")</f>
        <v>田中　鈴音</v>
      </c>
      <c r="F187" s="5"/>
      <c r="G187" s="6"/>
      <c r="H187" s="6"/>
      <c r="I187" s="6"/>
      <c r="J187" s="6"/>
      <c r="K187" s="6"/>
      <c r="L187" s="6"/>
      <c r="M187" s="6"/>
      <c r="N187" s="6"/>
      <c r="O187" s="7"/>
    </row>
    <row r="188" spans="1:16" s="1" customFormat="1">
      <c r="C188" s="24">
        <f>IF(C181=6,5,IF(C180=5,4,IF(C179=4,3,IF(C178=3,3))))</f>
        <v>3</v>
      </c>
      <c r="D188" s="25" t="str">
        <f>IF(C188&gt;0,VLOOKUP(C188,C176:E181,2,FALSE),"")</f>
        <v>和東Ｊｒ</v>
      </c>
      <c r="E188" s="26" t="str">
        <f>IF(C188&gt;0,VLOOKUP(C188,C176:E181,3,FALSE),"")</f>
        <v>鵜本　翠</v>
      </c>
      <c r="F188" s="8"/>
      <c r="G188" s="9"/>
      <c r="H188" s="9"/>
      <c r="I188" s="9"/>
      <c r="J188" s="9"/>
      <c r="K188" s="9"/>
      <c r="L188" s="9"/>
      <c r="M188" s="9"/>
      <c r="N188" s="9"/>
      <c r="O188" s="10"/>
    </row>
    <row r="189" spans="1:16" s="11" customFormat="1" ht="10.5">
      <c r="D189" s="27"/>
      <c r="E189" s="28"/>
    </row>
    <row r="190" spans="1:16" s="1" customFormat="1">
      <c r="A190" s="1">
        <v>3</v>
      </c>
      <c r="C190" s="21">
        <f>IF(C181=6,2,IF(C180=5,5,IF(C179=4,1,IF(C178=3,1))))</f>
        <v>1</v>
      </c>
      <c r="D190" s="22" t="str">
        <f>IF(C190&gt;0,VLOOKUP(C190,C176:E181,2,FALSE),"")</f>
        <v>はしまモア</v>
      </c>
      <c r="E190" s="23" t="str">
        <f>IF(C190&gt;0,VLOOKUP(C190,C176:E181,3,FALSE),"")</f>
        <v>髙橋　ののか</v>
      </c>
      <c r="F190" s="5"/>
      <c r="G190" s="6"/>
      <c r="H190" s="6"/>
      <c r="I190" s="6"/>
      <c r="J190" s="6"/>
      <c r="K190" s="6"/>
      <c r="L190" s="6"/>
      <c r="M190" s="6"/>
      <c r="N190" s="6"/>
      <c r="O190" s="7"/>
    </row>
    <row r="191" spans="1:16" s="1" customFormat="1">
      <c r="C191" s="24">
        <f>IF(C181=6,3,IF(C180=5,1,IF(C179=4,3,IF(C178=3,2))))</f>
        <v>3</v>
      </c>
      <c r="D191" s="25" t="str">
        <f>IF(C191&gt;0,VLOOKUP(C191,C176:E181,2,FALSE),"")</f>
        <v>和東Ｊｒ</v>
      </c>
      <c r="E191" s="26" t="str">
        <f>IF(C191&gt;0,VLOOKUP(C191,C176:E181,3,FALSE),"")</f>
        <v>鵜本　翠</v>
      </c>
      <c r="F191" s="8"/>
      <c r="G191" s="9"/>
      <c r="H191" s="9"/>
      <c r="I191" s="9"/>
      <c r="J191" s="9"/>
      <c r="K191" s="9"/>
      <c r="L191" s="9"/>
      <c r="M191" s="9"/>
      <c r="N191" s="9"/>
      <c r="O191" s="10"/>
    </row>
    <row r="192" spans="1:16" s="11" customFormat="1" ht="10.5">
      <c r="C192" s="29"/>
      <c r="D192" s="30"/>
      <c r="E192" s="31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1:15" s="1" customFormat="1">
      <c r="A193" s="1">
        <v>4</v>
      </c>
      <c r="C193" s="21">
        <f>IF(C181=6,5,IF(C180=5,2,IF(C179=4,2,IF(C178=3,0,0))))</f>
        <v>2</v>
      </c>
      <c r="D193" s="22" t="str">
        <f>IF(C193&gt;0,VLOOKUP(C193,C176:E181,2,FALSE),"")</f>
        <v>長野ジュニア</v>
      </c>
      <c r="E193" s="23" t="str">
        <f>IF(C193&gt;0,VLOOKUP(C193,C176:E181,3,FALSE),"")</f>
        <v>田中　鈴音</v>
      </c>
      <c r="F193" s="5"/>
      <c r="G193" s="6"/>
      <c r="H193" s="6"/>
      <c r="I193" s="6"/>
      <c r="J193" s="6"/>
      <c r="K193" s="6"/>
      <c r="L193" s="6"/>
      <c r="M193" s="6"/>
      <c r="N193" s="6"/>
      <c r="O193" s="7"/>
    </row>
    <row r="194" spans="1:15" s="1" customFormat="1">
      <c r="C194" s="24">
        <f>IF(C181=6,6,IF(C180=5,3,IF(C179=4,4,IF(C178=3,0,0))))</f>
        <v>4</v>
      </c>
      <c r="D194" s="25" t="str">
        <f>IF(C194&gt;0,VLOOKUP(C194,C176:E181,2,FALSE),"")</f>
        <v>はしまモア</v>
      </c>
      <c r="E194" s="26" t="str">
        <f>IF(C194&gt;0,VLOOKUP(C194,C176:E181,3,FALSE),"")</f>
        <v>後藤　結衣</v>
      </c>
      <c r="F194" s="8"/>
      <c r="G194" s="9"/>
      <c r="H194" s="9"/>
      <c r="I194" s="9"/>
      <c r="J194" s="9"/>
      <c r="K194" s="9"/>
      <c r="L194" s="9"/>
      <c r="M194" s="9"/>
      <c r="N194" s="9"/>
      <c r="O194" s="10"/>
    </row>
    <row r="195" spans="1:15" s="11" customFormat="1" ht="10.5">
      <c r="C195" s="29"/>
      <c r="D195" s="30"/>
      <c r="E195" s="31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1:15" s="1" customFormat="1">
      <c r="A196" s="1">
        <v>5</v>
      </c>
      <c r="C196" s="21">
        <f>IF(C181=6,3,IF(C180=5,5,IF(C179=4,3,IF(C178=3,0,0))))</f>
        <v>3</v>
      </c>
      <c r="D196" s="22" t="str">
        <f>IF(C196&gt;0,VLOOKUP(C196,C176:E181,2,FALSE),"")</f>
        <v>和東Ｊｒ</v>
      </c>
      <c r="E196" s="23" t="str">
        <f>IF(C196&gt;0,VLOOKUP(C196,C176:E181,3,FALSE),"")</f>
        <v>鵜本　翠</v>
      </c>
      <c r="F196" s="5"/>
      <c r="G196" s="6"/>
      <c r="H196" s="6"/>
      <c r="I196" s="6"/>
      <c r="J196" s="6"/>
      <c r="K196" s="6"/>
      <c r="L196" s="6"/>
      <c r="M196" s="6"/>
      <c r="N196" s="6"/>
      <c r="O196" s="7"/>
    </row>
    <row r="197" spans="1:15" s="1" customFormat="1">
      <c r="C197" s="24">
        <f>IF(C181=6,1,IF(C180=5,4,IF(C179=4,4,IF(C178=3,0,0))))</f>
        <v>4</v>
      </c>
      <c r="D197" s="25" t="str">
        <f>IF(C197&gt;0,VLOOKUP(C197,C176:E181,2,FALSE),"")</f>
        <v>はしまモア</v>
      </c>
      <c r="E197" s="26" t="str">
        <f>IF(C197&gt;0,VLOOKUP(C197,C176:E181,3,FALSE),"")</f>
        <v>後藤　結衣</v>
      </c>
      <c r="F197" s="8"/>
      <c r="G197" s="9"/>
      <c r="H197" s="9"/>
      <c r="I197" s="9"/>
      <c r="J197" s="9"/>
      <c r="K197" s="9"/>
      <c r="L197" s="9"/>
      <c r="M197" s="9"/>
      <c r="N197" s="9"/>
      <c r="O197" s="10"/>
    </row>
    <row r="198" spans="1:15" s="11" customFormat="1" ht="10.5">
      <c r="C198" s="29"/>
      <c r="D198" s="30"/>
      <c r="E198" s="31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1:15" s="1" customFormat="1">
      <c r="A199" s="1">
        <v>6</v>
      </c>
      <c r="C199" s="21">
        <f>IF(C181=6,6,IF(C180=5,1,IF(C179=4,1,IF(C178=3,0,0))))</f>
        <v>1</v>
      </c>
      <c r="D199" s="22" t="str">
        <f>IF(C199&gt;0,VLOOKUP(C199,C176:E181,2,FALSE),"")</f>
        <v>はしまモア</v>
      </c>
      <c r="E199" s="23" t="str">
        <f>IF(C199&gt;0,VLOOKUP(C199,C176:E181,3,FALSE),"")</f>
        <v>髙橋　ののか</v>
      </c>
      <c r="F199" s="5"/>
      <c r="G199" s="6"/>
      <c r="H199" s="6"/>
      <c r="I199" s="6"/>
      <c r="J199" s="6"/>
      <c r="K199" s="6"/>
      <c r="L199" s="6"/>
      <c r="M199" s="6"/>
      <c r="N199" s="6"/>
      <c r="O199" s="7"/>
    </row>
    <row r="200" spans="1:15" s="1" customFormat="1">
      <c r="C200" s="24">
        <f>IF(C181=6,4,IF(C180=5,3,IF(C179=4,2,IF(C178=3,0,0))))</f>
        <v>2</v>
      </c>
      <c r="D200" s="25" t="str">
        <f>IF(C200&gt;0,VLOOKUP(C200,C176:E181,2,FALSE),"")</f>
        <v>長野ジュニア</v>
      </c>
      <c r="E200" s="26" t="str">
        <f>IF(C200&gt;0,VLOOKUP(C200,C176:E181,3,FALSE),"")</f>
        <v>田中　鈴音</v>
      </c>
      <c r="F200" s="8"/>
      <c r="G200" s="9"/>
      <c r="H200" s="9"/>
      <c r="I200" s="9"/>
      <c r="J200" s="9"/>
      <c r="K200" s="9"/>
      <c r="L200" s="9"/>
      <c r="M200" s="9"/>
      <c r="N200" s="9"/>
      <c r="O200" s="10"/>
    </row>
    <row r="201" spans="1:15" s="11" customFormat="1" ht="10.5">
      <c r="C201" s="29"/>
      <c r="D201" s="30"/>
      <c r="E201" s="31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r="202" spans="1:15" s="1" customFormat="1">
      <c r="A202" s="1">
        <v>7</v>
      </c>
      <c r="C202" s="21">
        <f>IF(C181=6,2,IF(C180=5,2,IF(C179=4,0,0)))</f>
        <v>0</v>
      </c>
      <c r="D202" s="22" t="str">
        <f>IF(C202&gt;0,VLOOKUP(C202,C176:E181,2,FALSE),"")</f>
        <v/>
      </c>
      <c r="E202" s="23" t="str">
        <f>IF(C202&gt;0,VLOOKUP(C202,C176:E181,3,FALSE),"")</f>
        <v/>
      </c>
      <c r="F202" s="5"/>
      <c r="G202" s="6"/>
      <c r="H202" s="6"/>
      <c r="I202" s="6"/>
      <c r="J202" s="6"/>
      <c r="K202" s="6"/>
      <c r="L202" s="6"/>
      <c r="M202" s="6"/>
      <c r="N202" s="6"/>
      <c r="O202" s="7"/>
    </row>
    <row r="203" spans="1:15" s="1" customFormat="1">
      <c r="C203" s="24">
        <f>IF(C181=6,5,IF(C180=5,5,IF(C179=4,0,0)))</f>
        <v>0</v>
      </c>
      <c r="D203" s="25" t="str">
        <f>IF(C203&gt;0,VLOOKUP(C203,C176:E181,2,FALSE),"")</f>
        <v/>
      </c>
      <c r="E203" s="26" t="str">
        <f>IF(C203&gt;0,VLOOKUP(C203,C176:E181,3,FALSE),"")</f>
        <v/>
      </c>
      <c r="F203" s="8"/>
      <c r="G203" s="9"/>
      <c r="H203" s="9"/>
      <c r="I203" s="9"/>
      <c r="J203" s="9"/>
      <c r="K203" s="9"/>
      <c r="L203" s="9"/>
      <c r="M203" s="9"/>
      <c r="N203" s="9"/>
      <c r="O203" s="10"/>
    </row>
    <row r="204" spans="1:15" s="11" customFormat="1" ht="10.5">
      <c r="C204" s="29"/>
      <c r="D204" s="30"/>
      <c r="E204" s="31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1:15" s="1" customFormat="1">
      <c r="A205" s="1">
        <v>8</v>
      </c>
      <c r="C205" s="21">
        <f>IF(C181=6,1,IF(C180=5,4,IF(C179=4,0,0)))</f>
        <v>0</v>
      </c>
      <c r="D205" s="22" t="str">
        <f>IF(C205&gt;0,VLOOKUP(C205,C176:E181,2,FALSE),"")</f>
        <v/>
      </c>
      <c r="E205" s="23" t="str">
        <f>IF(C205&gt;0,VLOOKUP(C205,C176:E181,3,FALSE),"")</f>
        <v/>
      </c>
      <c r="F205" s="5"/>
      <c r="G205" s="6"/>
      <c r="H205" s="6"/>
      <c r="I205" s="6"/>
      <c r="J205" s="6"/>
      <c r="K205" s="6"/>
      <c r="L205" s="6"/>
      <c r="M205" s="6"/>
      <c r="N205" s="6"/>
      <c r="O205" s="7"/>
    </row>
    <row r="206" spans="1:15" s="1" customFormat="1">
      <c r="C206" s="24">
        <f>IF(C181=6,4,IF(C180=5,1,IF(C179=4,0,0)))</f>
        <v>0</v>
      </c>
      <c r="D206" s="25" t="str">
        <f>IF(C206&gt;0,VLOOKUP(C206,C176:E181,2,FALSE),"")</f>
        <v/>
      </c>
      <c r="E206" s="26" t="str">
        <f>IF(C206&gt;0,VLOOKUP(C206,C176:E181,3,FALSE),"")</f>
        <v/>
      </c>
      <c r="F206" s="8"/>
      <c r="G206" s="9"/>
      <c r="H206" s="9"/>
      <c r="I206" s="9"/>
      <c r="J206" s="9"/>
      <c r="K206" s="9"/>
      <c r="L206" s="9"/>
      <c r="M206" s="9"/>
      <c r="N206" s="9"/>
      <c r="O206" s="10"/>
    </row>
    <row r="207" spans="1:15" s="11" customFormat="1" ht="10.5">
      <c r="C207" s="29"/>
      <c r="D207" s="30"/>
      <c r="E207" s="31"/>
      <c r="F207" s="12"/>
      <c r="G207" s="12"/>
      <c r="H207" s="12"/>
      <c r="I207" s="12"/>
      <c r="J207" s="12"/>
      <c r="K207" s="12"/>
      <c r="L207" s="12"/>
      <c r="M207" s="12"/>
      <c r="N207" s="12"/>
      <c r="O207" s="13"/>
    </row>
    <row r="208" spans="1:15" s="1" customFormat="1">
      <c r="A208" s="1">
        <v>9</v>
      </c>
      <c r="C208" s="21">
        <f>IF(C181=6,5,IF(C180=5,3,IF(C179=4,0,0)))</f>
        <v>0</v>
      </c>
      <c r="D208" s="22" t="str">
        <f>IF(C208&gt;0,VLOOKUP(C208,C176:E181,2,FALSE),"")</f>
        <v/>
      </c>
      <c r="E208" s="23" t="str">
        <f>IF(C208&gt;0,VLOOKUP(C208,C176:E181,3,FALSE),"")</f>
        <v/>
      </c>
      <c r="F208" s="5"/>
      <c r="G208" s="6"/>
      <c r="H208" s="6"/>
      <c r="I208" s="6"/>
      <c r="J208" s="6"/>
      <c r="K208" s="6"/>
      <c r="L208" s="6"/>
      <c r="M208" s="6"/>
      <c r="N208" s="6"/>
      <c r="O208" s="7"/>
    </row>
    <row r="209" spans="1:15" s="1" customFormat="1">
      <c r="C209" s="24">
        <f>IF(C181=6,3,IF(C180=5,5,IF(C179=4,0,0)))</f>
        <v>0</v>
      </c>
      <c r="D209" s="25" t="str">
        <f>IF(C209&gt;0,VLOOKUP(C209,C176:E181,2,FALSE),"")</f>
        <v/>
      </c>
      <c r="E209" s="26" t="str">
        <f>IF(C209&gt;0,VLOOKUP(C209,C176:E181,3,FALSE),"")</f>
        <v/>
      </c>
      <c r="F209" s="8"/>
      <c r="G209" s="9"/>
      <c r="H209" s="9"/>
      <c r="I209" s="9"/>
      <c r="J209" s="9"/>
      <c r="K209" s="9"/>
      <c r="L209" s="9"/>
      <c r="M209" s="9"/>
      <c r="N209" s="9"/>
      <c r="O209" s="10"/>
    </row>
    <row r="210" spans="1:15" s="11" customFormat="1" ht="10.5">
      <c r="C210" s="29"/>
      <c r="D210" s="30"/>
      <c r="E210" s="31"/>
      <c r="F210" s="12"/>
      <c r="G210" s="12"/>
      <c r="H210" s="12"/>
      <c r="I210" s="12"/>
      <c r="J210" s="12"/>
      <c r="K210" s="12"/>
      <c r="L210" s="12"/>
      <c r="M210" s="12"/>
      <c r="N210" s="12"/>
      <c r="O210" s="13"/>
    </row>
    <row r="211" spans="1:15" s="1" customFormat="1">
      <c r="A211" s="1">
        <v>10</v>
      </c>
      <c r="C211" s="21">
        <f>IF(C181=6,1,IF(C180=5,4,IF(C179=4,0,0)))</f>
        <v>0</v>
      </c>
      <c r="D211" s="22" t="str">
        <f>IF(C211&gt;0,VLOOKUP(C211,C176:E181,2,FALSE),"")</f>
        <v/>
      </c>
      <c r="E211" s="23" t="str">
        <f>IF(C211&gt;0,VLOOKUP(C211,C176:E181,3,FALSE),"")</f>
        <v/>
      </c>
      <c r="F211" s="5"/>
      <c r="G211" s="6"/>
      <c r="H211" s="6"/>
      <c r="I211" s="6"/>
      <c r="J211" s="6"/>
      <c r="K211" s="6"/>
      <c r="L211" s="6"/>
      <c r="M211" s="6"/>
      <c r="N211" s="6"/>
      <c r="O211" s="7"/>
    </row>
    <row r="212" spans="1:15" s="1" customFormat="1">
      <c r="C212" s="24">
        <f>IF(C181=6,6,IF(C180=5,2,IF(C179=4,0,0)))</f>
        <v>0</v>
      </c>
      <c r="D212" s="25" t="str">
        <f>IF(C212&gt;0,VLOOKUP(C212,C176:E181,2,FALSE),"")</f>
        <v/>
      </c>
      <c r="E212" s="26" t="str">
        <f>IF(C212&gt;0,VLOOKUP(C212,C176:E181,3,FALSE),"")</f>
        <v/>
      </c>
      <c r="F212" s="8"/>
      <c r="G212" s="9"/>
      <c r="H212" s="9"/>
      <c r="I212" s="9"/>
      <c r="J212" s="9"/>
      <c r="K212" s="9"/>
      <c r="L212" s="9"/>
      <c r="M212" s="9"/>
      <c r="N212" s="9"/>
      <c r="O212" s="10"/>
    </row>
    <row r="213" spans="1:15" s="11" customFormat="1" ht="10.5">
      <c r="C213" s="29"/>
      <c r="D213" s="30"/>
      <c r="E213" s="31"/>
      <c r="F213" s="12"/>
      <c r="G213" s="12"/>
      <c r="H213" s="12"/>
      <c r="I213" s="12"/>
      <c r="J213" s="12"/>
      <c r="K213" s="12"/>
      <c r="L213" s="12"/>
      <c r="M213" s="12"/>
      <c r="N213" s="12"/>
      <c r="O213" s="13"/>
    </row>
    <row r="214" spans="1:15" s="1" customFormat="1">
      <c r="A214" s="1">
        <v>11</v>
      </c>
      <c r="C214" s="21">
        <f>IF(C181=6,4,0)</f>
        <v>0</v>
      </c>
      <c r="D214" s="22" t="str">
        <f>IF(C214&gt;0,VLOOKUP(C214,C176:E181,2,FALSE),"")</f>
        <v/>
      </c>
      <c r="E214" s="23" t="str">
        <f>IF(C214&gt;0,VLOOKUP(C214,C176:E181,3,FALSE),"")</f>
        <v/>
      </c>
      <c r="F214" s="5"/>
      <c r="G214" s="6"/>
      <c r="H214" s="6"/>
      <c r="I214" s="6"/>
      <c r="J214" s="6"/>
      <c r="K214" s="6"/>
      <c r="L214" s="6"/>
      <c r="M214" s="6"/>
      <c r="N214" s="6"/>
      <c r="O214" s="7"/>
    </row>
    <row r="215" spans="1:15" s="1" customFormat="1">
      <c r="C215" s="24">
        <f>IF(C181=6,2,0)</f>
        <v>0</v>
      </c>
      <c r="D215" s="25" t="str">
        <f>IF(C215&gt;0,VLOOKUP(C215,C176:E181,2,FALSE),"")</f>
        <v/>
      </c>
      <c r="E215" s="26" t="str">
        <f>IF(C215&gt;0,VLOOKUP(C215,C176:E181,3,FALSE),"")</f>
        <v/>
      </c>
      <c r="F215" s="8"/>
      <c r="G215" s="9"/>
      <c r="H215" s="9"/>
      <c r="I215" s="9"/>
      <c r="J215" s="9"/>
      <c r="K215" s="9"/>
      <c r="L215" s="9"/>
      <c r="M215" s="9"/>
      <c r="N215" s="9"/>
      <c r="O215" s="10"/>
    </row>
    <row r="216" spans="1:15" s="11" customFormat="1" ht="10.5">
      <c r="C216" s="29"/>
      <c r="D216" s="30"/>
      <c r="E216" s="31"/>
      <c r="F216" s="12"/>
      <c r="G216" s="12"/>
      <c r="H216" s="12"/>
      <c r="I216" s="12"/>
      <c r="J216" s="12"/>
      <c r="K216" s="12"/>
      <c r="L216" s="12"/>
      <c r="M216" s="12"/>
      <c r="N216" s="12"/>
      <c r="O216" s="13"/>
    </row>
    <row r="217" spans="1:15" s="1" customFormat="1">
      <c r="A217" s="1">
        <v>12</v>
      </c>
      <c r="C217" s="21">
        <f>IF(C181=6,3,0)</f>
        <v>0</v>
      </c>
      <c r="D217" s="22" t="str">
        <f>IF(C217&gt;0,VLOOKUP(C217,C176:E181,2,FALSE),"")</f>
        <v/>
      </c>
      <c r="E217" s="23" t="str">
        <f>IF(C217&gt;0,VLOOKUP(C217,C176:E181,3,FALSE),"")</f>
        <v/>
      </c>
      <c r="F217" s="5"/>
      <c r="G217" s="6"/>
      <c r="H217" s="6"/>
      <c r="I217" s="6"/>
      <c r="J217" s="6"/>
      <c r="K217" s="6"/>
      <c r="L217" s="6"/>
      <c r="M217" s="6"/>
      <c r="N217" s="6"/>
      <c r="O217" s="7"/>
    </row>
    <row r="218" spans="1:15" s="1" customFormat="1" ht="13.5" customHeight="1">
      <c r="C218" s="24">
        <f>IF(C181=6,6,0)</f>
        <v>0</v>
      </c>
      <c r="D218" s="25" t="str">
        <f>IF(C218&gt;0,VLOOKUP(C218,C176:E181,2,FALSE),"")</f>
        <v/>
      </c>
      <c r="E218" s="26" t="str">
        <f>IF(C218&gt;0,VLOOKUP(C218,C176:E181,3,FALSE),"")</f>
        <v/>
      </c>
      <c r="F218" s="8"/>
      <c r="G218" s="9"/>
      <c r="H218" s="9"/>
      <c r="I218" s="9"/>
      <c r="J218" s="9"/>
      <c r="K218" s="9"/>
      <c r="L218" s="9"/>
      <c r="M218" s="9"/>
      <c r="N218" s="9"/>
      <c r="O218" s="10"/>
    </row>
    <row r="219" spans="1:15" s="11" customFormat="1" ht="10.5">
      <c r="C219" s="29"/>
      <c r="D219" s="30"/>
      <c r="E219" s="31"/>
      <c r="F219" s="12"/>
      <c r="G219" s="12"/>
      <c r="H219" s="12"/>
      <c r="I219" s="12"/>
      <c r="J219" s="12"/>
      <c r="K219" s="12"/>
      <c r="L219" s="12"/>
      <c r="M219" s="12"/>
      <c r="N219" s="12"/>
      <c r="O219" s="13"/>
    </row>
    <row r="220" spans="1:15" s="1" customFormat="1">
      <c r="A220" s="1">
        <v>13</v>
      </c>
      <c r="C220" s="21">
        <f>IF(C181=6,5,0)</f>
        <v>0</v>
      </c>
      <c r="D220" s="22" t="str">
        <f>IF(C220&gt;0,VLOOKUP(C220,C176:E181,2,FALSE),"")</f>
        <v/>
      </c>
      <c r="E220" s="23" t="str">
        <f>IF(C220&gt;0,VLOOKUP(C220,C176:E181,3,FALSE),"")</f>
        <v/>
      </c>
      <c r="F220" s="5"/>
      <c r="G220" s="6"/>
      <c r="H220" s="6"/>
      <c r="I220" s="6"/>
      <c r="J220" s="6"/>
      <c r="K220" s="6"/>
      <c r="L220" s="6"/>
      <c r="M220" s="6"/>
      <c r="N220" s="6"/>
      <c r="O220" s="7"/>
    </row>
    <row r="221" spans="1:15" s="1" customFormat="1">
      <c r="C221" s="24">
        <f>IF(C181=6,1,0)</f>
        <v>0</v>
      </c>
      <c r="D221" s="25" t="str">
        <f>IF(C221&gt;0,VLOOKUP(C221,C176:E181,2,FALSE),"")</f>
        <v/>
      </c>
      <c r="E221" s="26" t="str">
        <f>IF(C221&gt;0,VLOOKUP(C221,C176:E181,3,FALSE),"")</f>
        <v/>
      </c>
      <c r="F221" s="8"/>
      <c r="G221" s="9"/>
      <c r="H221" s="9"/>
      <c r="I221" s="9"/>
      <c r="J221" s="9"/>
      <c r="K221" s="9"/>
      <c r="L221" s="9"/>
      <c r="M221" s="9"/>
      <c r="N221" s="9"/>
      <c r="O221" s="10"/>
    </row>
    <row r="222" spans="1:15" s="11" customFormat="1" ht="10.5">
      <c r="C222" s="29"/>
      <c r="D222" s="30"/>
      <c r="E222" s="31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1:15" s="1" customFormat="1">
      <c r="A223" s="1">
        <v>14</v>
      </c>
      <c r="C223" s="21">
        <f>IF(C181=6,3,0)</f>
        <v>0</v>
      </c>
      <c r="D223" s="22" t="str">
        <f>IF(C223&gt;0,VLOOKUP(C223,C176:E181,2,FALSE),"")</f>
        <v/>
      </c>
      <c r="E223" s="23" t="str">
        <f>IF(C223&gt;0,VLOOKUP(C223,C176:E181,3,FALSE),"")</f>
        <v/>
      </c>
      <c r="F223" s="5"/>
      <c r="G223" s="6"/>
      <c r="H223" s="6"/>
      <c r="I223" s="6"/>
      <c r="J223" s="6"/>
      <c r="K223" s="6"/>
      <c r="L223" s="6"/>
      <c r="M223" s="6"/>
      <c r="N223" s="6"/>
      <c r="O223" s="7"/>
    </row>
    <row r="224" spans="1:15" s="1" customFormat="1">
      <c r="C224" s="24">
        <f>IF(C181=6,4,0)</f>
        <v>0</v>
      </c>
      <c r="D224" s="25" t="str">
        <f>IF(C224&gt;0,VLOOKUP(C224,C176:E181,2,FALSE),"")</f>
        <v/>
      </c>
      <c r="E224" s="26" t="str">
        <f>IF(C224&gt;0,VLOOKUP(C224,C176:E181,3,FALSE),"")</f>
        <v/>
      </c>
      <c r="F224" s="8"/>
      <c r="G224" s="9"/>
      <c r="H224" s="9"/>
      <c r="I224" s="9"/>
      <c r="J224" s="9"/>
      <c r="K224" s="9"/>
      <c r="L224" s="9"/>
      <c r="M224" s="9"/>
      <c r="N224" s="9"/>
      <c r="O224" s="10"/>
    </row>
    <row r="225" spans="1:15" s="11" customFormat="1" ht="10.5">
      <c r="C225" s="29"/>
      <c r="D225" s="30"/>
      <c r="E225" s="31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1:15" s="1" customFormat="1">
      <c r="A226" s="1">
        <v>15</v>
      </c>
      <c r="C226" s="21">
        <f>IF(C181=6,6,0)</f>
        <v>0</v>
      </c>
      <c r="D226" s="22" t="str">
        <f>IF(C226&gt;0,VLOOKUP(C226,C176:E181,2,FALSE),"")</f>
        <v/>
      </c>
      <c r="E226" s="23" t="str">
        <f>IF(C226&gt;0,VLOOKUP(C226,C176:E181,3,FALSE),"")</f>
        <v/>
      </c>
      <c r="F226" s="5"/>
      <c r="G226" s="6"/>
      <c r="H226" s="6"/>
      <c r="I226" s="6"/>
      <c r="J226" s="6"/>
      <c r="K226" s="6"/>
      <c r="L226" s="6"/>
      <c r="M226" s="6"/>
      <c r="N226" s="6"/>
      <c r="O226" s="7"/>
    </row>
    <row r="227" spans="1:15" s="1" customFormat="1">
      <c r="C227" s="24">
        <f>IF(C181=6,2,0)</f>
        <v>0</v>
      </c>
      <c r="D227" s="25" t="str">
        <f>IF(C227&gt;0,VLOOKUP(C227,C176:E181,2,FALSE),"")</f>
        <v/>
      </c>
      <c r="E227" s="26" t="str">
        <f>IF(C227&gt;0,VLOOKUP(C227,C176:E181,3,FALSE),"")</f>
        <v/>
      </c>
      <c r="F227" s="8"/>
      <c r="G227" s="9"/>
      <c r="H227" s="9"/>
      <c r="I227" s="9"/>
      <c r="J227" s="9"/>
      <c r="K227" s="9"/>
      <c r="L227" s="9"/>
      <c r="M227" s="9"/>
      <c r="N227" s="9"/>
      <c r="O227" s="10"/>
    </row>
    <row r="228" spans="1:15" s="83" customFormat="1" ht="10.5">
      <c r="C228" s="86"/>
      <c r="D228" s="32"/>
      <c r="E228" s="33"/>
      <c r="F228" s="87"/>
      <c r="G228" s="87"/>
      <c r="H228" s="87"/>
      <c r="I228" s="87"/>
      <c r="J228" s="87"/>
      <c r="K228" s="87"/>
      <c r="L228" s="87"/>
      <c r="M228" s="87"/>
      <c r="N228" s="87"/>
      <c r="O228" s="88"/>
    </row>
    <row r="229" spans="1:15" s="222" customFormat="1">
      <c r="A229" s="222">
        <v>15</v>
      </c>
      <c r="C229" s="222" t="b">
        <v>0</v>
      </c>
      <c r="D229" s="35" t="s">
        <v>43</v>
      </c>
      <c r="E229" s="34" t="s">
        <v>44</v>
      </c>
    </row>
  </sheetData>
  <sheetProtection sheet="1" objects="1" scenarios="1" formatCells="0" selectLockedCells="1"/>
  <mergeCells count="28">
    <mergeCell ref="L58:O58"/>
    <mergeCell ref="A59:J59"/>
    <mergeCell ref="L59:O59"/>
    <mergeCell ref="A115:J115"/>
    <mergeCell ref="L115:O115"/>
    <mergeCell ref="A58:J58"/>
    <mergeCell ref="N175:O175"/>
    <mergeCell ref="K60:O60"/>
    <mergeCell ref="N118:O118"/>
    <mergeCell ref="A60:E60"/>
    <mergeCell ref="N61:O61"/>
    <mergeCell ref="A117:E117"/>
    <mergeCell ref="K117:O117"/>
    <mergeCell ref="A174:E174"/>
    <mergeCell ref="K174:O174"/>
    <mergeCell ref="A116:J116"/>
    <mergeCell ref="L116:O116"/>
    <mergeCell ref="A172:J172"/>
    <mergeCell ref="L172:O172"/>
    <mergeCell ref="A173:J173"/>
    <mergeCell ref="L173:O173"/>
    <mergeCell ref="A3:E3"/>
    <mergeCell ref="K3:O3"/>
    <mergeCell ref="N4:O4"/>
    <mergeCell ref="L1:O1"/>
    <mergeCell ref="L2:O2"/>
    <mergeCell ref="A2:J2"/>
    <mergeCell ref="A1:J1"/>
  </mergeCells>
  <phoneticPr fontId="2"/>
  <conditionalFormatting sqref="I9:I10 J10 F19:N57 F13:N14 G5:K5 H6:K6 I7:K7 J8:K8 K9 F6:F10 F16:N17 G7:G10 H8:H10 F76:N114 F133:N171 F190:N228 F70:N71 F127:N128 F184:N185 F73:N74 F130:N131 F187:N188">
    <cfRule type="expression" dxfId="15" priority="40" stopIfTrue="1">
      <formula>#REF!=1</formula>
    </cfRule>
  </conditionalFormatting>
  <conditionalFormatting sqref="I66:I67 J67 G62:K62 H63:K63 I64:K64 J65:K65 K66 F63:F67 G64:G67 H65:H67">
    <cfRule type="expression" dxfId="14" priority="39" stopIfTrue="1">
      <formula>#REF!=1</formula>
    </cfRule>
  </conditionalFormatting>
  <conditionalFormatting sqref="I123:I124 J124 G119:K119 H120:K120 I121:K121 J122:K122 K123 F120:F124 G121:G124 H122:H124">
    <cfRule type="expression" dxfId="13" priority="38" stopIfTrue="1">
      <formula>#REF!=1</formula>
    </cfRule>
  </conditionalFormatting>
  <conditionalFormatting sqref="I180:I181 J181 G176:K176 H177:K177 I178:K178 J179:K179 K180 F177:F181 G178:G181 H179:H181">
    <cfRule type="expression" dxfId="12" priority="37" stopIfTrue="1">
      <formula>#REF!=1</formula>
    </cfRule>
  </conditionalFormatting>
  <conditionalFormatting sqref="C230:C1048576 C3:C57 C60:C114 C117:C171 C174:C228">
    <cfRule type="cellIs" dxfId="11" priority="4" operator="equal">
      <formula>0</formula>
    </cfRule>
  </conditionalFormatting>
  <conditionalFormatting sqref="C229">
    <cfRule type="cellIs" dxfId="10" priority="3" operator="equal">
      <formula>0</formula>
    </cfRule>
  </conditionalFormatting>
  <conditionalFormatting sqref="D229">
    <cfRule type="cellIs" dxfId="9" priority="1" stopIfTrue="1" operator="equal">
      <formula>""</formula>
    </cfRule>
    <cfRule type="cellIs" dxfId="8" priority="2" stopIfTrue="1" operator="notEqual">
      <formula>""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J181 I180:I181 H179:H181 G178:G181 F177:F181 K180 J179:K179 I178:K178 H177:K177 G176:K176 J67 I66:I67 H65:H67 G64:G67 F63:F67 K66 J65:K65 I64:K64 H63:K63 G62:K62 F187:N188 F184:N185 F190:N228 F73:N74 F70:N71 F76:N114 F19:N57 J10 I9:I10 H8:H10 G7:G10 F6:F10 K9 J8:K8 I7:K7 H6:K6 G5:K5 F13:N14 F16:N17 F133:N171 F127:N128 F130:N131 J124 I123:I124 H122:H124 G121:G124 F120:F124 K123 J122:K122 I121:K121 H120:K120 G119:K119">
      <formula1>OR(AND(F5&gt;=0,F5&lt;=5),F5="V0",F5="V1",F5="V2",F5="V3",F5="V4",F5="V5")</formula1>
    </dataValidation>
  </dataValidations>
  <pageMargins left="0.59055118110236227" right="0.59055118110236227" top="0.59055118110236227" bottom="0.59055118110236227" header="0.23622047244094491" footer="0.23622047244094491"/>
  <pageSetup paperSize="9" orientation="portrait" horizontalDpi="360" verticalDpi="360" r:id="rId1"/>
  <headerFooter alignWithMargins="0"/>
  <rowBreaks count="3" manualBreakCount="3">
    <brk id="57" max="16383" man="1"/>
    <brk id="114" max="16383" man="1"/>
    <brk id="1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8"/>
  <sheetViews>
    <sheetView view="pageBreakPreview" zoomScaleNormal="100" zoomScaleSheetLayoutView="100" workbookViewId="0">
      <selection activeCell="D4" sqref="D4"/>
    </sheetView>
  </sheetViews>
  <sheetFormatPr defaultColWidth="3.42578125" defaultRowHeight="14.25"/>
  <cols>
    <col min="1" max="1" width="5.7109375" style="236" customWidth="1"/>
    <col min="2" max="2" width="22.7109375" style="257" customWidth="1"/>
    <col min="3" max="3" width="16.7109375" style="242" customWidth="1"/>
    <col min="4" max="8" width="7.7109375" style="236" customWidth="1"/>
    <col min="9" max="9" width="8.28515625" style="236" bestFit="1" customWidth="1"/>
    <col min="10" max="10" width="13.28515625" style="258" bestFit="1" customWidth="1"/>
    <col min="11" max="11" width="12.85546875" style="236" customWidth="1"/>
    <col min="12" max="12" width="4.28515625" style="236" bestFit="1" customWidth="1"/>
    <col min="13" max="13" width="19.28515625" style="236" bestFit="1" customWidth="1"/>
    <col min="14" max="16384" width="3.42578125" style="236"/>
  </cols>
  <sheetData>
    <row r="1" spans="1:15" s="235" customFormat="1" ht="17.25">
      <c r="A1" s="281" t="str">
        <f>名簿!$A$1</f>
        <v>第9回川本杯はしまモアフェンシング大会</v>
      </c>
      <c r="B1" s="281"/>
      <c r="C1" s="281"/>
      <c r="D1" s="281"/>
      <c r="E1" s="281"/>
      <c r="F1" s="281"/>
      <c r="G1" s="281"/>
      <c r="H1" s="281"/>
      <c r="I1" s="281"/>
      <c r="J1" s="232"/>
      <c r="K1" s="233"/>
      <c r="L1" s="233"/>
      <c r="M1" s="234"/>
      <c r="N1" s="234"/>
      <c r="O1" s="234"/>
    </row>
    <row r="2" spans="1:15" ht="18" customHeight="1">
      <c r="A2" s="282" t="str">
        <f>"　"&amp;名簿!$A$2</f>
        <v>　小学1-3年女子</v>
      </c>
      <c r="B2" s="282"/>
      <c r="C2" s="282"/>
      <c r="D2" s="282"/>
      <c r="E2" s="282"/>
      <c r="F2" s="282"/>
      <c r="H2" s="237"/>
      <c r="I2" s="237"/>
      <c r="J2" s="238"/>
      <c r="K2" s="237"/>
      <c r="L2" s="239"/>
      <c r="M2" s="240"/>
      <c r="N2" s="240"/>
      <c r="O2" s="240"/>
    </row>
    <row r="3" spans="1:15" ht="18" customHeight="1">
      <c r="A3" s="283" t="str">
        <f>"　　"&amp;名簿!$A$3</f>
        <v>　　1回戦</v>
      </c>
      <c r="B3" s="283"/>
      <c r="C3" s="283"/>
      <c r="D3" s="283"/>
      <c r="E3" s="283"/>
      <c r="F3" s="283"/>
      <c r="G3" s="284">
        <f>名簿!$E$3</f>
        <v>43184</v>
      </c>
      <c r="H3" s="284"/>
      <c r="I3" s="284"/>
      <c r="J3" s="238"/>
    </row>
    <row r="4" spans="1:15" ht="18" customHeight="1">
      <c r="A4" s="280" t="s">
        <v>18</v>
      </c>
      <c r="B4" s="280"/>
      <c r="C4" s="280"/>
      <c r="D4" s="229" t="s">
        <v>56</v>
      </c>
      <c r="E4" s="229" t="s">
        <v>57</v>
      </c>
      <c r="F4" s="229" t="s">
        <v>58</v>
      </c>
      <c r="G4" s="230" t="s">
        <v>59</v>
      </c>
      <c r="H4" s="230" t="s">
        <v>60</v>
      </c>
      <c r="I4" s="230" t="s">
        <v>61</v>
      </c>
      <c r="J4" s="238"/>
    </row>
    <row r="5" spans="1:15" s="242" customFormat="1" ht="18" customHeight="1">
      <c r="A5" s="230" t="s">
        <v>21</v>
      </c>
      <c r="B5" s="241" t="s">
        <v>19</v>
      </c>
      <c r="C5" s="229" t="s">
        <v>20</v>
      </c>
      <c r="D5" s="229" t="s">
        <v>22</v>
      </c>
      <c r="E5" s="231" t="s">
        <v>62</v>
      </c>
      <c r="F5" s="231" t="s">
        <v>63</v>
      </c>
      <c r="G5" s="230" t="s">
        <v>23</v>
      </c>
      <c r="H5" s="230" t="s">
        <v>24</v>
      </c>
      <c r="I5" s="230" t="s">
        <v>39</v>
      </c>
      <c r="J5" s="238"/>
    </row>
    <row r="6" spans="1:15" ht="18" customHeight="1">
      <c r="A6" s="243">
        <f>名簿!A5</f>
        <v>1</v>
      </c>
      <c r="B6" s="244" t="str">
        <f>IF(A6="","",VLOOKUP(A6,'予選 Ｐ'!$D$5:$F$28,2,0))</f>
        <v>京都フューチャー</v>
      </c>
      <c r="C6" s="243" t="str">
        <f>IF(A6="","",VLOOKUP(A6,'予選 Ｐ'!$D$5:$F$28,3,0))</f>
        <v>田中　うの</v>
      </c>
      <c r="D6" s="245">
        <f>IF(A6="","",VLOOKUP(A6,'予選 Ｐ'!$Y$5:$AE$28,2,0))</f>
        <v>3</v>
      </c>
      <c r="E6" s="245">
        <f>IF(A6="","",VLOOKUP(A6,'予選 Ｐ'!$Y$5:$AE$28,3,0))</f>
        <v>3</v>
      </c>
      <c r="F6" s="245">
        <f>IF(A6="","",VLOOKUP(A6,'予選 Ｐ'!$Y$5:$AE$28,4,0))</f>
        <v>1</v>
      </c>
      <c r="G6" s="245">
        <f>IF(A6="","",VLOOKUP(A6,'予選 Ｐ'!$Y$5:$AE$28,5,0))</f>
        <v>15</v>
      </c>
      <c r="H6" s="245">
        <f>IF(A6="","",VLOOKUP(A6,'予選 Ｐ'!$Y$5:$AE$28,6,0))</f>
        <v>1</v>
      </c>
      <c r="I6" s="245">
        <f>IF(A6="","",VLOOKUP(A6,'予選 Ｐ'!$Y$5:$AE$28,7,0))</f>
        <v>14</v>
      </c>
      <c r="J6" s="246">
        <f>IF(A6="","",VLOOKUP(A6,'予選 Ｐ'!$Y$5:$AH$28,9,0))</f>
        <v>0</v>
      </c>
      <c r="K6" s="236" t="str">
        <f>C6</f>
        <v>田中　うの</v>
      </c>
      <c r="L6" s="236">
        <f>A6</f>
        <v>1</v>
      </c>
      <c r="M6" s="236" t="str">
        <f>B6</f>
        <v>京都フューチャー</v>
      </c>
    </row>
    <row r="7" spans="1:15" ht="18" customHeight="1">
      <c r="A7" s="247">
        <f>名簿!A6</f>
        <v>2</v>
      </c>
      <c r="B7" s="248" t="str">
        <f>IF(A7="","",VLOOKUP(A7,'予選 Ｐ'!$D$5:$F$28,2,0))</f>
        <v>京都フューチャー</v>
      </c>
      <c r="C7" s="247" t="str">
        <f>IF(A7="","",VLOOKUP(A7,'予選 Ｐ'!$D$5:$F$28,3,0))</f>
        <v>熊本　詩乃</v>
      </c>
      <c r="D7" s="249">
        <f>IF(A7="","",VLOOKUP(A7,'予選 Ｐ'!$Y$5:$AE$28,2,0))</f>
        <v>3</v>
      </c>
      <c r="E7" s="249">
        <f>IF(A7="","",VLOOKUP(A7,'予選 Ｐ'!$Y$5:$AE$28,3,0))</f>
        <v>3</v>
      </c>
      <c r="F7" s="249">
        <f>IF(A7="","",VLOOKUP(A7,'予選 Ｐ'!$Y$5:$AE$28,4,0))</f>
        <v>1</v>
      </c>
      <c r="G7" s="249">
        <f>IF(A7="","",VLOOKUP(A7,'予選 Ｐ'!$Y$5:$AE$28,5,0))</f>
        <v>15</v>
      </c>
      <c r="H7" s="249">
        <f>IF(A7="","",VLOOKUP(A7,'予選 Ｐ'!$Y$5:$AE$28,6,0))</f>
        <v>3</v>
      </c>
      <c r="I7" s="249">
        <f>IF(A7="","",VLOOKUP(A7,'予選 Ｐ'!$Y$5:$AE$28,7,0))</f>
        <v>12</v>
      </c>
      <c r="J7" s="246">
        <f>IF(A7="","",VLOOKUP(A7,'予選 Ｐ'!$Y$5:$AH$28,9,0))</f>
        <v>0</v>
      </c>
      <c r="K7" s="236" t="str">
        <f t="shared" ref="K7:K21" si="0">C7</f>
        <v>熊本　詩乃</v>
      </c>
      <c r="L7" s="236">
        <f t="shared" ref="L7:L21" si="1">A7</f>
        <v>2</v>
      </c>
      <c r="M7" s="236" t="str">
        <f t="shared" ref="M7:M21" si="2">B7</f>
        <v>京都フューチャー</v>
      </c>
    </row>
    <row r="8" spans="1:15" ht="18" customHeight="1">
      <c r="A8" s="247">
        <f>名簿!A7</f>
        <v>3</v>
      </c>
      <c r="B8" s="248" t="str">
        <f>IF(A8="","",VLOOKUP(A8,'予選 Ｐ'!$D$5:$F$28,2,0))</f>
        <v>アレ　フェンシング</v>
      </c>
      <c r="C8" s="247" t="str">
        <f>IF(A8="","",VLOOKUP(A8,'予選 Ｐ'!$D$5:$F$28,3,0))</f>
        <v>古市　颯希</v>
      </c>
      <c r="D8" s="249">
        <f>IF(A8="","",VLOOKUP(A8,'予選 Ｐ'!$Y$5:$AE$28,2,0))</f>
        <v>3</v>
      </c>
      <c r="E8" s="249">
        <f>IF(A8="","",VLOOKUP(A8,'予選 Ｐ'!$Y$5:$AE$28,3,0))</f>
        <v>3</v>
      </c>
      <c r="F8" s="249">
        <f>IF(A8="","",VLOOKUP(A8,'予選 Ｐ'!$Y$5:$AE$28,4,0))</f>
        <v>1</v>
      </c>
      <c r="G8" s="249">
        <f>IF(A8="","",VLOOKUP(A8,'予選 Ｐ'!$Y$5:$AE$28,5,0))</f>
        <v>15</v>
      </c>
      <c r="H8" s="249">
        <f>IF(A8="","",VLOOKUP(A8,'予選 Ｐ'!$Y$5:$AE$28,6,0))</f>
        <v>4</v>
      </c>
      <c r="I8" s="249">
        <f>IF(A8="","",VLOOKUP(A8,'予選 Ｐ'!$Y$5:$AE$28,7,0))</f>
        <v>11</v>
      </c>
      <c r="J8" s="246">
        <f>IF(A8="","",VLOOKUP(A8,'予選 Ｐ'!$Y$5:$AH$28,9,0))</f>
        <v>0</v>
      </c>
      <c r="K8" s="236" t="str">
        <f t="shared" si="0"/>
        <v>古市　颯希</v>
      </c>
      <c r="L8" s="236">
        <f t="shared" si="1"/>
        <v>3</v>
      </c>
      <c r="M8" s="236" t="str">
        <f t="shared" si="2"/>
        <v>アレ　フェンシング</v>
      </c>
    </row>
    <row r="9" spans="1:15" ht="18" customHeight="1">
      <c r="A9" s="247">
        <f>名簿!A8</f>
        <v>4</v>
      </c>
      <c r="B9" s="248" t="str">
        <f>IF(A9="","",VLOOKUP(A9,'予選 Ｐ'!$D$5:$F$28,2,0))</f>
        <v>はしまモア</v>
      </c>
      <c r="C9" s="247" t="str">
        <f>IF(A9="","",VLOOKUP(A9,'予選 Ｐ'!$D$5:$F$28,3,0))</f>
        <v>髙橋　ののか</v>
      </c>
      <c r="D9" s="249">
        <f>IF(A9="","",VLOOKUP(A9,'予選 Ｐ'!$Y$5:$AE$28,2,0))</f>
        <v>3</v>
      </c>
      <c r="E9" s="249">
        <f>IF(A9="","",VLOOKUP(A9,'予選 Ｐ'!$Y$5:$AE$28,3,0))</f>
        <v>3</v>
      </c>
      <c r="F9" s="249">
        <f>IF(A9="","",VLOOKUP(A9,'予選 Ｐ'!$Y$5:$AE$28,4,0))</f>
        <v>1</v>
      </c>
      <c r="G9" s="249">
        <f>IF(A9="","",VLOOKUP(A9,'予選 Ｐ'!$Y$5:$AE$28,5,0))</f>
        <v>13</v>
      </c>
      <c r="H9" s="249">
        <f>IF(A9="","",VLOOKUP(A9,'予選 Ｐ'!$Y$5:$AE$28,6,0))</f>
        <v>2</v>
      </c>
      <c r="I9" s="249">
        <f>IF(A9="","",VLOOKUP(A9,'予選 Ｐ'!$Y$5:$AE$28,7,0))</f>
        <v>11</v>
      </c>
      <c r="J9" s="246">
        <f>IF(A9="","",VLOOKUP(A9,'予選 Ｐ'!$Y$5:$AH$28,9,0))</f>
        <v>0</v>
      </c>
      <c r="K9" s="236" t="str">
        <f t="shared" si="0"/>
        <v>髙橋　ののか</v>
      </c>
      <c r="L9" s="236">
        <f t="shared" si="1"/>
        <v>4</v>
      </c>
      <c r="M9" s="236" t="str">
        <f t="shared" si="2"/>
        <v>はしまモア</v>
      </c>
    </row>
    <row r="10" spans="1:15" ht="18" customHeight="1">
      <c r="A10" s="247">
        <f>名簿!A9</f>
        <v>5</v>
      </c>
      <c r="B10" s="248" t="str">
        <f>IF(A10="","",VLOOKUP(A10,'予選 Ｐ'!$D$5:$F$28,2,0))</f>
        <v>和東Ｊｒ</v>
      </c>
      <c r="C10" s="247" t="str">
        <f>IF(A10="","",VLOOKUP(A10,'予選 Ｐ'!$D$5:$F$28,3,0))</f>
        <v>鵜本　翠</v>
      </c>
      <c r="D10" s="249">
        <f>IF(A10="","",VLOOKUP(A10,'予選 Ｐ'!$Y$5:$AE$28,2,0))</f>
        <v>3</v>
      </c>
      <c r="E10" s="249">
        <f>IF(A10="","",VLOOKUP(A10,'予選 Ｐ'!$Y$5:$AE$28,3,0))</f>
        <v>2</v>
      </c>
      <c r="F10" s="249">
        <f>IF(A10="","",VLOOKUP(A10,'予選 Ｐ'!$Y$5:$AE$28,4,0))</f>
        <v>0.66700000000000004</v>
      </c>
      <c r="G10" s="249">
        <f>IF(A10="","",VLOOKUP(A10,'予選 Ｐ'!$Y$5:$AE$28,5,0))</f>
        <v>12</v>
      </c>
      <c r="H10" s="249">
        <f>IF(A10="","",VLOOKUP(A10,'予選 Ｐ'!$Y$5:$AE$28,6,0))</f>
        <v>4</v>
      </c>
      <c r="I10" s="249">
        <f>IF(A10="","",VLOOKUP(A10,'予選 Ｐ'!$Y$5:$AE$28,7,0))</f>
        <v>8</v>
      </c>
      <c r="J10" s="246">
        <f>IF(A10="","",VLOOKUP(A10,'予選 Ｐ'!$Y$5:$AH$28,9,0))</f>
        <v>0</v>
      </c>
      <c r="K10" s="236" t="str">
        <f t="shared" si="0"/>
        <v>鵜本　翠</v>
      </c>
      <c r="L10" s="236">
        <f t="shared" si="1"/>
        <v>5</v>
      </c>
      <c r="M10" s="236" t="str">
        <f t="shared" si="2"/>
        <v>和東Ｊｒ</v>
      </c>
    </row>
    <row r="11" spans="1:15" ht="18" customHeight="1">
      <c r="A11" s="247">
        <f>名簿!A10</f>
        <v>6</v>
      </c>
      <c r="B11" s="248" t="str">
        <f>IF(A11="","",VLOOKUP(A11,'予選 Ｐ'!$D$5:$F$28,2,0))</f>
        <v>はしまモア</v>
      </c>
      <c r="C11" s="247" t="str">
        <f>IF(A11="","",VLOOKUP(A11,'予選 Ｐ'!$D$5:$F$28,3,0))</f>
        <v>杉山　妃埜</v>
      </c>
      <c r="D11" s="249">
        <f>IF(A11="","",VLOOKUP(A11,'予選 Ｐ'!$Y$5:$AE$28,2,0))</f>
        <v>3</v>
      </c>
      <c r="E11" s="249">
        <f>IF(A11="","",VLOOKUP(A11,'予選 Ｐ'!$Y$5:$AE$28,3,0))</f>
        <v>2</v>
      </c>
      <c r="F11" s="249">
        <f>IF(A11="","",VLOOKUP(A11,'予選 Ｐ'!$Y$5:$AE$28,4,0))</f>
        <v>0.66700000000000004</v>
      </c>
      <c r="G11" s="249">
        <f>IF(A11="","",VLOOKUP(A11,'予選 Ｐ'!$Y$5:$AE$28,5,0))</f>
        <v>13</v>
      </c>
      <c r="H11" s="249">
        <f>IF(A11="","",VLOOKUP(A11,'予選 Ｐ'!$Y$5:$AE$28,6,0))</f>
        <v>8</v>
      </c>
      <c r="I11" s="249">
        <f>IF(A11="","",VLOOKUP(A11,'予選 Ｐ'!$Y$5:$AE$28,7,0))</f>
        <v>5</v>
      </c>
      <c r="J11" s="246">
        <f>IF(A11="","",VLOOKUP(A11,'予選 Ｐ'!$Y$5:$AH$28,9,0))</f>
        <v>0</v>
      </c>
      <c r="K11" s="236" t="str">
        <f t="shared" si="0"/>
        <v>杉山　妃埜</v>
      </c>
      <c r="L11" s="236">
        <f t="shared" si="1"/>
        <v>6</v>
      </c>
      <c r="M11" s="236" t="str">
        <f t="shared" si="2"/>
        <v>はしまモア</v>
      </c>
    </row>
    <row r="12" spans="1:15" ht="18" customHeight="1">
      <c r="A12" s="247">
        <f>名簿!A11</f>
        <v>7</v>
      </c>
      <c r="B12" s="248" t="str">
        <f>IF(A12="","",VLOOKUP(A12,'予選 Ｐ'!$D$5:$F$28,2,0))</f>
        <v>養老ＦＣ</v>
      </c>
      <c r="C12" s="247" t="str">
        <f>IF(A12="","",VLOOKUP(A12,'予選 Ｐ'!$D$5:$F$28,3,0))</f>
        <v>三輪　楓華</v>
      </c>
      <c r="D12" s="249">
        <f>IF(A12="","",VLOOKUP(A12,'予選 Ｐ'!$Y$5:$AE$28,2,0))</f>
        <v>3</v>
      </c>
      <c r="E12" s="249">
        <f>IF(A12="","",VLOOKUP(A12,'予選 Ｐ'!$Y$5:$AE$28,3,0))</f>
        <v>2</v>
      </c>
      <c r="F12" s="249">
        <f>IF(A12="","",VLOOKUP(A12,'予選 Ｐ'!$Y$5:$AE$28,4,0))</f>
        <v>0.66700000000000004</v>
      </c>
      <c r="G12" s="249">
        <f>IF(A12="","",VLOOKUP(A12,'予選 Ｐ'!$Y$5:$AE$28,5,0))</f>
        <v>10</v>
      </c>
      <c r="H12" s="249">
        <f>IF(A12="","",VLOOKUP(A12,'予選 Ｐ'!$Y$5:$AE$28,6,0))</f>
        <v>9</v>
      </c>
      <c r="I12" s="249">
        <f>IF(A12="","",VLOOKUP(A12,'予選 Ｐ'!$Y$5:$AE$28,7,0))</f>
        <v>1</v>
      </c>
      <c r="J12" s="246">
        <f>IF(A12="","",VLOOKUP(A12,'予選 Ｐ'!$Y$5:$AH$28,9,0))</f>
        <v>0</v>
      </c>
      <c r="K12" s="236" t="str">
        <f t="shared" si="0"/>
        <v>三輪　楓華</v>
      </c>
      <c r="L12" s="236">
        <f t="shared" si="1"/>
        <v>7</v>
      </c>
      <c r="M12" s="236" t="str">
        <f t="shared" si="2"/>
        <v>養老ＦＣ</v>
      </c>
    </row>
    <row r="13" spans="1:15" ht="18" customHeight="1">
      <c r="A13" s="247">
        <f>名簿!A12</f>
        <v>8</v>
      </c>
      <c r="B13" s="248" t="str">
        <f>IF(A13="","",VLOOKUP(A13,'予選 Ｐ'!$D$5:$F$28,2,0))</f>
        <v>養老ＦＣ</v>
      </c>
      <c r="C13" s="247" t="str">
        <f>IF(A13="","",VLOOKUP(A13,'予選 Ｐ'!$D$5:$F$28,3,0))</f>
        <v>伊東　愛苺</v>
      </c>
      <c r="D13" s="249">
        <f>IF(A13="","",VLOOKUP(A13,'予選 Ｐ'!$Y$5:$AE$28,2,0))</f>
        <v>3</v>
      </c>
      <c r="E13" s="249">
        <f>IF(A13="","",VLOOKUP(A13,'予選 Ｐ'!$Y$5:$AE$28,3,0))</f>
        <v>2</v>
      </c>
      <c r="F13" s="249">
        <f>IF(A13="","",VLOOKUP(A13,'予選 Ｐ'!$Y$5:$AE$28,4,0))</f>
        <v>0.66700000000000004</v>
      </c>
      <c r="G13" s="249">
        <f>IF(A13="","",VLOOKUP(A13,'予選 Ｐ'!$Y$5:$AE$28,5,0))</f>
        <v>10</v>
      </c>
      <c r="H13" s="249">
        <f>IF(A13="","",VLOOKUP(A13,'予選 Ｐ'!$Y$5:$AE$28,6,0))</f>
        <v>10</v>
      </c>
      <c r="I13" s="249">
        <f>IF(A13="","",VLOOKUP(A13,'予選 Ｐ'!$Y$5:$AE$28,7,0))</f>
        <v>0</v>
      </c>
      <c r="J13" s="246">
        <f>IF(A13="","",VLOOKUP(A13,'予選 Ｐ'!$Y$5:$AH$28,9,0))</f>
        <v>0</v>
      </c>
      <c r="K13" s="236" t="str">
        <f t="shared" si="0"/>
        <v>伊東　愛苺</v>
      </c>
      <c r="L13" s="236">
        <f t="shared" si="1"/>
        <v>8</v>
      </c>
      <c r="M13" s="236" t="str">
        <f t="shared" si="2"/>
        <v>養老ＦＣ</v>
      </c>
    </row>
    <row r="14" spans="1:15" ht="18" customHeight="1">
      <c r="A14" s="247">
        <f>名簿!A13</f>
        <v>9</v>
      </c>
      <c r="B14" s="248" t="str">
        <f>IF(A14="","",VLOOKUP(A14,'予選 Ｐ'!$D$5:$F$28,2,0))</f>
        <v>はしまモア</v>
      </c>
      <c r="C14" s="247" t="str">
        <f>IF(A14="","",VLOOKUP(A14,'予選 Ｐ'!$D$5:$F$28,3,0))</f>
        <v>山田　椛暖</v>
      </c>
      <c r="D14" s="249">
        <f>IF(A14="","",VLOOKUP(A14,'予選 Ｐ'!$Y$5:$AE$28,2,0))</f>
        <v>3</v>
      </c>
      <c r="E14" s="249">
        <f>IF(A14="","",VLOOKUP(A14,'予選 Ｐ'!$Y$5:$AE$28,3,0))</f>
        <v>1</v>
      </c>
      <c r="F14" s="249">
        <f>IF(A14="","",VLOOKUP(A14,'予選 Ｐ'!$Y$5:$AE$28,4,0))</f>
        <v>0.33300000000000002</v>
      </c>
      <c r="G14" s="249">
        <f>IF(A14="","",VLOOKUP(A14,'予選 Ｐ'!$Y$5:$AE$28,5,0))</f>
        <v>10</v>
      </c>
      <c r="H14" s="249">
        <f>IF(A14="","",VLOOKUP(A14,'予選 Ｐ'!$Y$5:$AE$28,6,0))</f>
        <v>11</v>
      </c>
      <c r="I14" s="249">
        <f>IF(A14="","",VLOOKUP(A14,'予選 Ｐ'!$Y$5:$AE$28,7,0))</f>
        <v>-1</v>
      </c>
      <c r="J14" s="246">
        <f>IF(A14="","",VLOOKUP(A14,'予選 Ｐ'!$Y$5:$AH$28,9,0))</f>
        <v>0</v>
      </c>
      <c r="K14" s="236" t="str">
        <f t="shared" si="0"/>
        <v>山田　椛暖</v>
      </c>
      <c r="L14" s="236">
        <f t="shared" si="1"/>
        <v>9</v>
      </c>
      <c r="M14" s="236" t="str">
        <f t="shared" si="2"/>
        <v>はしまモア</v>
      </c>
    </row>
    <row r="15" spans="1:15" ht="18" customHeight="1">
      <c r="A15" s="247">
        <f>名簿!A14</f>
        <v>10</v>
      </c>
      <c r="B15" s="248" t="str">
        <f>IF(A15="","",VLOOKUP(A15,'予選 Ｐ'!$D$5:$F$28,2,0))</f>
        <v>はしまモア</v>
      </c>
      <c r="C15" s="247" t="str">
        <f>IF(A15="","",VLOOKUP(A15,'予選 Ｐ'!$D$5:$F$28,3,0))</f>
        <v>石黒　莉愛</v>
      </c>
      <c r="D15" s="249">
        <f>IF(A15="","",VLOOKUP(A15,'予選 Ｐ'!$Y$5:$AE$28,2,0))</f>
        <v>3</v>
      </c>
      <c r="E15" s="249">
        <f>IF(A15="","",VLOOKUP(A15,'予選 Ｐ'!$Y$5:$AE$28,3,0))</f>
        <v>1</v>
      </c>
      <c r="F15" s="249">
        <f>IF(A15="","",VLOOKUP(A15,'予選 Ｐ'!$Y$5:$AE$28,4,0))</f>
        <v>0.33300000000000002</v>
      </c>
      <c r="G15" s="249">
        <f>IF(A15="","",VLOOKUP(A15,'予選 Ｐ'!$Y$5:$AE$28,5,0))</f>
        <v>9</v>
      </c>
      <c r="H15" s="249">
        <f>IF(A15="","",VLOOKUP(A15,'予選 Ｐ'!$Y$5:$AE$28,6,0))</f>
        <v>10</v>
      </c>
      <c r="I15" s="249">
        <f>IF(A15="","",VLOOKUP(A15,'予選 Ｐ'!$Y$5:$AE$28,7,0))</f>
        <v>-1</v>
      </c>
      <c r="J15" s="246">
        <f>IF(A15="","",VLOOKUP(A15,'予選 Ｐ'!$Y$5:$AH$28,9,0))</f>
        <v>0</v>
      </c>
      <c r="K15" s="236" t="str">
        <f t="shared" si="0"/>
        <v>石黒　莉愛</v>
      </c>
      <c r="L15" s="236">
        <f t="shared" si="1"/>
        <v>10</v>
      </c>
      <c r="M15" s="236" t="str">
        <f t="shared" si="2"/>
        <v>はしまモア</v>
      </c>
    </row>
    <row r="16" spans="1:15" ht="18" customHeight="1">
      <c r="A16" s="247">
        <f>名簿!A15</f>
        <v>11</v>
      </c>
      <c r="B16" s="248" t="str">
        <f>IF(A16="","",VLOOKUP(A16,'予選 Ｐ'!$D$5:$F$28,2,0))</f>
        <v>滋賀ＪＦＣ</v>
      </c>
      <c r="C16" s="247" t="str">
        <f>IF(A16="","",VLOOKUP(A16,'予選 Ｐ'!$D$5:$F$28,3,0))</f>
        <v>畑中　七葉</v>
      </c>
      <c r="D16" s="249">
        <f>IF(A16="","",VLOOKUP(A16,'予選 Ｐ'!$Y$5:$AE$28,2,0))</f>
        <v>3</v>
      </c>
      <c r="E16" s="249">
        <f>IF(A16="","",VLOOKUP(A16,'予選 Ｐ'!$Y$5:$AE$28,3,0))</f>
        <v>1</v>
      </c>
      <c r="F16" s="249">
        <f>IF(A16="","",VLOOKUP(A16,'予選 Ｐ'!$Y$5:$AE$28,4,0))</f>
        <v>0.33300000000000002</v>
      </c>
      <c r="G16" s="249">
        <f>IF(A16="","",VLOOKUP(A16,'予選 Ｐ'!$Y$5:$AE$28,5,0))</f>
        <v>8</v>
      </c>
      <c r="H16" s="249">
        <f>IF(A16="","",VLOOKUP(A16,'予選 Ｐ'!$Y$5:$AE$28,6,0))</f>
        <v>9</v>
      </c>
      <c r="I16" s="249">
        <f>IF(A16="","",VLOOKUP(A16,'予選 Ｐ'!$Y$5:$AE$28,7,0))</f>
        <v>-1</v>
      </c>
      <c r="J16" s="246">
        <f>IF(A16="","",VLOOKUP(A16,'予選 Ｐ'!$Y$5:$AH$28,9,0))</f>
        <v>0</v>
      </c>
      <c r="K16" s="236" t="str">
        <f t="shared" si="0"/>
        <v>畑中　七葉</v>
      </c>
      <c r="L16" s="236">
        <f t="shared" si="1"/>
        <v>11</v>
      </c>
      <c r="M16" s="236" t="str">
        <f t="shared" si="2"/>
        <v>滋賀ＪＦＣ</v>
      </c>
    </row>
    <row r="17" spans="1:13" ht="18" customHeight="1">
      <c r="A17" s="247">
        <f>名簿!A16</f>
        <v>12</v>
      </c>
      <c r="B17" s="248" t="str">
        <f>IF(A17="","",VLOOKUP(A17,'予選 Ｐ'!$D$5:$F$28,2,0))</f>
        <v>長野ジュニア</v>
      </c>
      <c r="C17" s="247" t="str">
        <f>IF(A17="","",VLOOKUP(A17,'予選 Ｐ'!$D$5:$F$28,3,0))</f>
        <v>田中　鈴音</v>
      </c>
      <c r="D17" s="249">
        <f>IF(A17="","",VLOOKUP(A17,'予選 Ｐ'!$Y$5:$AE$28,2,0))</f>
        <v>3</v>
      </c>
      <c r="E17" s="249">
        <f>IF(A17="","",VLOOKUP(A17,'予選 Ｐ'!$Y$5:$AE$28,3,0))</f>
        <v>1</v>
      </c>
      <c r="F17" s="249">
        <f>IF(A17="","",VLOOKUP(A17,'予選 Ｐ'!$Y$5:$AE$28,4,0))</f>
        <v>0.33300000000000002</v>
      </c>
      <c r="G17" s="249">
        <f>IF(A17="","",VLOOKUP(A17,'予選 Ｐ'!$Y$5:$AE$28,5,0))</f>
        <v>6</v>
      </c>
      <c r="H17" s="249">
        <f>IF(A17="","",VLOOKUP(A17,'予選 Ｐ'!$Y$5:$AE$28,6,0))</f>
        <v>14</v>
      </c>
      <c r="I17" s="249">
        <f>IF(A17="","",VLOOKUP(A17,'予選 Ｐ'!$Y$5:$AE$28,7,0))</f>
        <v>-8</v>
      </c>
      <c r="J17" s="246">
        <f>IF(A17="","",VLOOKUP(A17,'予選 Ｐ'!$Y$5:$AH$28,9,0))</f>
        <v>0</v>
      </c>
      <c r="K17" s="236" t="str">
        <f t="shared" si="0"/>
        <v>田中　鈴音</v>
      </c>
      <c r="L17" s="236">
        <f t="shared" si="1"/>
        <v>12</v>
      </c>
      <c r="M17" s="236" t="str">
        <f t="shared" si="2"/>
        <v>長野ジュニア</v>
      </c>
    </row>
    <row r="18" spans="1:13" ht="18" customHeight="1">
      <c r="A18" s="247">
        <f>名簿!A17</f>
        <v>13</v>
      </c>
      <c r="B18" s="248" t="str">
        <f>IF(A18="","",VLOOKUP(A18,'予選 Ｐ'!$D$5:$F$28,2,0))</f>
        <v>はしまモア</v>
      </c>
      <c r="C18" s="247" t="str">
        <f>IF(A18="","",VLOOKUP(A18,'予選 Ｐ'!$D$5:$F$28,3,0))</f>
        <v>後藤　結衣</v>
      </c>
      <c r="D18" s="249">
        <f>IF(A18="","",VLOOKUP(A18,'予選 Ｐ'!$Y$5:$AE$28,2,0))</f>
        <v>3</v>
      </c>
      <c r="E18" s="249">
        <f>IF(A18="","",VLOOKUP(A18,'予選 Ｐ'!$Y$5:$AE$28,3,0))</f>
        <v>0</v>
      </c>
      <c r="F18" s="249">
        <f>IF(A18="","",VLOOKUP(A18,'予選 Ｐ'!$Y$5:$AE$28,4,0))</f>
        <v>0</v>
      </c>
      <c r="G18" s="249">
        <f>IF(A18="","",VLOOKUP(A18,'予選 Ｐ'!$Y$5:$AE$28,5,0))</f>
        <v>4</v>
      </c>
      <c r="H18" s="249">
        <f>IF(A18="","",VLOOKUP(A18,'予選 Ｐ'!$Y$5:$AE$28,6,0))</f>
        <v>15</v>
      </c>
      <c r="I18" s="249">
        <f>IF(A18="","",VLOOKUP(A18,'予選 Ｐ'!$Y$5:$AE$28,7,0))</f>
        <v>-11</v>
      </c>
      <c r="J18" s="246">
        <f>IF(A18="","",VLOOKUP(A18,'予選 Ｐ'!$Y$5:$AH$28,9,0))</f>
        <v>0</v>
      </c>
      <c r="K18" s="236" t="str">
        <f t="shared" si="0"/>
        <v>後藤　結衣</v>
      </c>
      <c r="L18" s="236">
        <f t="shared" si="1"/>
        <v>13</v>
      </c>
      <c r="M18" s="236" t="str">
        <f t="shared" si="2"/>
        <v>はしまモア</v>
      </c>
    </row>
    <row r="19" spans="1:13" ht="18" customHeight="1">
      <c r="A19" s="247">
        <f>名簿!A18</f>
        <v>14</v>
      </c>
      <c r="B19" s="248" t="str">
        <f>IF(A19="","",VLOOKUP(A19,'予選 Ｐ'!$D$5:$F$28,2,0))</f>
        <v>長野ジュニア</v>
      </c>
      <c r="C19" s="247" t="str">
        <f>IF(A19="","",VLOOKUP(A19,'予選 Ｐ'!$D$5:$F$28,3,0))</f>
        <v>原　悠莉</v>
      </c>
      <c r="D19" s="249">
        <f>IF(A19="","",VLOOKUP(A19,'予選 Ｐ'!$Y$5:$AE$28,2,0))</f>
        <v>3</v>
      </c>
      <c r="E19" s="249">
        <f>IF(A19="","",VLOOKUP(A19,'予選 Ｐ'!$Y$5:$AE$28,3,0))</f>
        <v>0</v>
      </c>
      <c r="F19" s="249">
        <f>IF(A19="","",VLOOKUP(A19,'予選 Ｐ'!$Y$5:$AE$28,4,0))</f>
        <v>0</v>
      </c>
      <c r="G19" s="249">
        <f>IF(A19="","",VLOOKUP(A19,'予選 Ｐ'!$Y$5:$AE$28,5,0))</f>
        <v>3</v>
      </c>
      <c r="H19" s="249">
        <f>IF(A19="","",VLOOKUP(A19,'予選 Ｐ'!$Y$5:$AE$28,6,0))</f>
        <v>15</v>
      </c>
      <c r="I19" s="249">
        <f>IF(A19="","",VLOOKUP(A19,'予選 Ｐ'!$Y$5:$AE$28,7,0))</f>
        <v>-12</v>
      </c>
      <c r="J19" s="246">
        <f>IF(A19="","",VLOOKUP(A19,'予選 Ｐ'!$Y$5:$AH$28,9,0))</f>
        <v>0</v>
      </c>
      <c r="K19" s="236" t="str">
        <f t="shared" si="0"/>
        <v>原　悠莉</v>
      </c>
      <c r="L19" s="236">
        <f t="shared" si="1"/>
        <v>14</v>
      </c>
      <c r="M19" s="236" t="str">
        <f t="shared" si="2"/>
        <v>長野ジュニア</v>
      </c>
    </row>
    <row r="20" spans="1:13" ht="18" customHeight="1">
      <c r="A20" s="247">
        <f>名簿!A19</f>
        <v>15</v>
      </c>
      <c r="B20" s="248" t="str">
        <f>IF(A20="","",VLOOKUP(A20,'予選 Ｐ'!$D$5:$F$28,2,0))</f>
        <v>武生ＪＦＣ</v>
      </c>
      <c r="C20" s="247" t="str">
        <f>IF(A20="","",VLOOKUP(A20,'予選 Ｐ'!$D$5:$F$28,3,0))</f>
        <v>矢部　結愛</v>
      </c>
      <c r="D20" s="249">
        <f>IF(A20="","",VLOOKUP(A20,'予選 Ｐ'!$Y$5:$AE$28,2,0))</f>
        <v>3</v>
      </c>
      <c r="E20" s="249">
        <f>IF(A20="","",VLOOKUP(A20,'予選 Ｐ'!$Y$5:$AE$28,3,0))</f>
        <v>0</v>
      </c>
      <c r="F20" s="249">
        <f>IF(A20="","",VLOOKUP(A20,'予選 Ｐ'!$Y$5:$AE$28,4,0))</f>
        <v>0</v>
      </c>
      <c r="G20" s="249">
        <f>IF(A20="","",VLOOKUP(A20,'予選 Ｐ'!$Y$5:$AE$28,5,0))</f>
        <v>2</v>
      </c>
      <c r="H20" s="249">
        <f>IF(A20="","",VLOOKUP(A20,'予選 Ｐ'!$Y$5:$AE$28,6,0))</f>
        <v>15</v>
      </c>
      <c r="I20" s="249">
        <f>IF(A20="","",VLOOKUP(A20,'予選 Ｐ'!$Y$5:$AE$28,7,0))</f>
        <v>-13</v>
      </c>
      <c r="J20" s="246">
        <f>IF(A20="","",VLOOKUP(A20,'予選 Ｐ'!$Y$5:$AH$28,9,0))</f>
        <v>0</v>
      </c>
      <c r="K20" s="236" t="str">
        <f t="shared" si="0"/>
        <v>矢部　結愛</v>
      </c>
      <c r="L20" s="236">
        <f t="shared" si="1"/>
        <v>15</v>
      </c>
      <c r="M20" s="236" t="str">
        <f t="shared" si="2"/>
        <v>武生ＪＦＣ</v>
      </c>
    </row>
    <row r="21" spans="1:13" ht="18" customHeight="1">
      <c r="A21" s="247">
        <f>名簿!A20</f>
        <v>16</v>
      </c>
      <c r="B21" s="248" t="str">
        <f>IF(A21="","",VLOOKUP(A21,'予選 Ｐ'!$D$5:$F$28,2,0))</f>
        <v>はしまモア</v>
      </c>
      <c r="C21" s="247" t="str">
        <f>IF(A21="","",VLOOKUP(A21,'予選 Ｐ'!$D$5:$F$28,3,0))</f>
        <v>勝野　心空</v>
      </c>
      <c r="D21" s="249">
        <f>IF(A21="","",VLOOKUP(A21,'予選 Ｐ'!$Y$5:$AE$28,2,0))</f>
        <v>3</v>
      </c>
      <c r="E21" s="249">
        <f>IF(A21="","",VLOOKUP(A21,'予選 Ｐ'!$Y$5:$AE$28,3,0))</f>
        <v>0</v>
      </c>
      <c r="F21" s="249">
        <f>IF(A21="","",VLOOKUP(A21,'予選 Ｐ'!$Y$5:$AE$28,4,0))</f>
        <v>0</v>
      </c>
      <c r="G21" s="249">
        <f>IF(A21="","",VLOOKUP(A21,'予選 Ｐ'!$Y$5:$AE$28,5,0))</f>
        <v>0</v>
      </c>
      <c r="H21" s="249">
        <f>IF(A21="","",VLOOKUP(A21,'予選 Ｐ'!$Y$5:$AE$28,6,0))</f>
        <v>15</v>
      </c>
      <c r="I21" s="249">
        <f>IF(A21="","",VLOOKUP(A21,'予選 Ｐ'!$Y$5:$AE$28,7,0))</f>
        <v>-15</v>
      </c>
      <c r="J21" s="246">
        <f>IF(A21="","",VLOOKUP(A21,'予選 Ｐ'!$Y$5:$AH$28,9,0))</f>
        <v>0</v>
      </c>
      <c r="K21" s="236" t="str">
        <f t="shared" si="0"/>
        <v>勝野　心空</v>
      </c>
      <c r="L21" s="236">
        <f t="shared" si="1"/>
        <v>16</v>
      </c>
      <c r="M21" s="236" t="str">
        <f t="shared" si="2"/>
        <v>はしまモア</v>
      </c>
    </row>
    <row r="22" spans="1:13">
      <c r="A22" s="250"/>
      <c r="B22" s="251" t="s">
        <v>33</v>
      </c>
      <c r="C22" s="252" t="s">
        <v>34</v>
      </c>
      <c r="D22" s="250"/>
      <c r="E22" s="250"/>
      <c r="F22" s="250"/>
      <c r="G22" s="253"/>
      <c r="H22" s="253"/>
      <c r="I22" s="254"/>
      <c r="J22" s="255"/>
    </row>
    <row r="23" spans="1:13">
      <c r="A23" s="250"/>
      <c r="B23" s="256"/>
      <c r="C23" s="250"/>
      <c r="D23" s="250"/>
      <c r="E23" s="250"/>
      <c r="F23" s="250"/>
      <c r="G23" s="253"/>
      <c r="H23" s="253"/>
      <c r="I23" s="254"/>
      <c r="J23" s="255"/>
    </row>
    <row r="24" spans="1:13">
      <c r="A24" s="250"/>
      <c r="B24" s="256"/>
      <c r="C24" s="250"/>
      <c r="D24" s="250"/>
      <c r="E24" s="250"/>
      <c r="F24" s="250"/>
      <c r="G24" s="253"/>
      <c r="H24" s="253"/>
      <c r="I24" s="254"/>
      <c r="J24" s="255"/>
    </row>
    <row r="25" spans="1:13">
      <c r="A25" s="250"/>
      <c r="B25" s="256"/>
      <c r="C25" s="250"/>
      <c r="D25" s="250"/>
      <c r="E25" s="250"/>
      <c r="F25" s="250"/>
      <c r="G25" s="253"/>
      <c r="H25" s="253"/>
      <c r="I25" s="250"/>
      <c r="J25" s="255"/>
    </row>
    <row r="26" spans="1:13">
      <c r="A26" s="250"/>
      <c r="B26" s="256"/>
      <c r="C26" s="250"/>
      <c r="D26" s="250"/>
      <c r="E26" s="250"/>
      <c r="F26" s="250"/>
      <c r="G26" s="253"/>
      <c r="H26" s="253"/>
      <c r="I26" s="254"/>
      <c r="J26" s="255"/>
    </row>
    <row r="27" spans="1:13">
      <c r="A27" s="250"/>
      <c r="B27" s="256"/>
      <c r="C27" s="250"/>
      <c r="D27" s="250"/>
      <c r="E27" s="250"/>
      <c r="F27" s="250"/>
      <c r="G27" s="253"/>
      <c r="H27" s="253"/>
      <c r="I27" s="254"/>
      <c r="J27" s="255"/>
    </row>
    <row r="28" spans="1:13">
      <c r="A28" s="250"/>
      <c r="B28" s="256"/>
      <c r="C28" s="250"/>
      <c r="D28" s="250"/>
      <c r="E28" s="250"/>
      <c r="F28" s="250"/>
      <c r="G28" s="253"/>
      <c r="H28" s="253"/>
      <c r="I28" s="254"/>
      <c r="J28" s="255"/>
    </row>
    <row r="29" spans="1:13">
      <c r="A29" s="250"/>
      <c r="B29" s="256"/>
      <c r="C29" s="250"/>
      <c r="D29" s="250"/>
      <c r="E29" s="250"/>
      <c r="F29" s="250"/>
      <c r="G29" s="253"/>
      <c r="H29" s="253"/>
      <c r="I29" s="254"/>
      <c r="J29" s="255"/>
    </row>
    <row r="30" spans="1:13">
      <c r="A30" s="250"/>
      <c r="B30" s="256"/>
      <c r="C30" s="250"/>
      <c r="D30" s="250"/>
      <c r="E30" s="250"/>
      <c r="F30" s="250"/>
      <c r="G30" s="253"/>
      <c r="H30" s="253"/>
      <c r="I30" s="254"/>
      <c r="J30" s="255"/>
    </row>
    <row r="31" spans="1:13">
      <c r="A31" s="250"/>
      <c r="B31" s="256"/>
      <c r="C31" s="250"/>
      <c r="D31" s="250"/>
      <c r="E31" s="250"/>
      <c r="F31" s="250"/>
      <c r="G31" s="253"/>
      <c r="H31" s="253"/>
      <c r="I31" s="250"/>
      <c r="J31" s="255"/>
    </row>
    <row r="32" spans="1:13">
      <c r="A32" s="250"/>
      <c r="B32" s="256"/>
      <c r="C32" s="250"/>
      <c r="D32" s="250"/>
      <c r="E32" s="250"/>
      <c r="F32" s="250"/>
      <c r="G32" s="253"/>
      <c r="H32" s="253"/>
      <c r="I32" s="254"/>
      <c r="J32" s="255"/>
    </row>
    <row r="33" spans="1:10">
      <c r="A33" s="250"/>
      <c r="B33" s="256"/>
      <c r="C33" s="250"/>
      <c r="D33" s="250"/>
      <c r="E33" s="250"/>
      <c r="F33" s="250"/>
      <c r="G33" s="253"/>
      <c r="H33" s="253"/>
      <c r="I33" s="254"/>
      <c r="J33" s="255"/>
    </row>
    <row r="34" spans="1:10">
      <c r="A34" s="250"/>
      <c r="B34" s="256"/>
      <c r="C34" s="250"/>
      <c r="D34" s="250"/>
      <c r="E34" s="250"/>
      <c r="F34" s="250"/>
      <c r="G34" s="253"/>
      <c r="H34" s="253"/>
      <c r="I34" s="254"/>
      <c r="J34" s="255"/>
    </row>
    <row r="35" spans="1:10">
      <c r="A35" s="250"/>
      <c r="B35" s="256"/>
      <c r="C35" s="250"/>
      <c r="D35" s="250"/>
      <c r="E35" s="250"/>
      <c r="F35" s="250"/>
      <c r="G35" s="253"/>
      <c r="H35" s="253"/>
      <c r="I35" s="254"/>
      <c r="J35" s="255"/>
    </row>
    <row r="36" spans="1:10">
      <c r="A36" s="250"/>
      <c r="B36" s="256"/>
      <c r="C36" s="250"/>
      <c r="D36" s="250"/>
      <c r="E36" s="250"/>
      <c r="F36" s="250"/>
      <c r="G36" s="253"/>
      <c r="H36" s="253"/>
      <c r="I36" s="254"/>
      <c r="J36" s="255"/>
    </row>
    <row r="37" spans="1:10">
      <c r="A37" s="250"/>
      <c r="B37" s="256"/>
      <c r="C37" s="250"/>
      <c r="D37" s="250"/>
      <c r="E37" s="250"/>
      <c r="F37" s="250"/>
      <c r="G37" s="253"/>
      <c r="H37" s="253"/>
      <c r="I37" s="250"/>
      <c r="J37" s="255"/>
    </row>
    <row r="38" spans="1:10">
      <c r="A38" s="250"/>
      <c r="B38" s="256"/>
      <c r="C38" s="250"/>
      <c r="D38" s="250"/>
      <c r="E38" s="250"/>
      <c r="F38" s="250"/>
      <c r="G38" s="253"/>
      <c r="H38" s="253"/>
      <c r="I38" s="254"/>
      <c r="J38" s="255"/>
    </row>
    <row r="39" spans="1:10">
      <c r="A39" s="250"/>
      <c r="B39" s="256"/>
      <c r="C39" s="250"/>
      <c r="D39" s="250"/>
      <c r="E39" s="250"/>
      <c r="F39" s="250"/>
      <c r="G39" s="253"/>
      <c r="H39" s="253"/>
      <c r="I39" s="254"/>
      <c r="J39" s="255"/>
    </row>
    <row r="40" spans="1:10">
      <c r="A40" s="250"/>
      <c r="B40" s="256"/>
      <c r="C40" s="250"/>
      <c r="D40" s="250"/>
      <c r="E40" s="250"/>
      <c r="F40" s="250"/>
      <c r="G40" s="253"/>
      <c r="H40" s="253"/>
      <c r="I40" s="254"/>
      <c r="J40" s="255"/>
    </row>
    <row r="41" spans="1:10">
      <c r="A41" s="250"/>
      <c r="B41" s="256"/>
      <c r="C41" s="250"/>
      <c r="D41" s="250"/>
      <c r="E41" s="250"/>
      <c r="F41" s="250"/>
      <c r="G41" s="253"/>
      <c r="H41" s="253"/>
      <c r="I41" s="254"/>
      <c r="J41" s="255"/>
    </row>
    <row r="42" spans="1:10">
      <c r="A42" s="250"/>
      <c r="B42" s="256"/>
      <c r="C42" s="250"/>
      <c r="D42" s="250"/>
      <c r="E42" s="250"/>
      <c r="F42" s="250"/>
      <c r="G42" s="253"/>
      <c r="H42" s="253"/>
      <c r="I42" s="254"/>
      <c r="J42" s="255"/>
    </row>
    <row r="43" spans="1:10">
      <c r="A43" s="250"/>
      <c r="B43" s="256"/>
      <c r="C43" s="250"/>
      <c r="D43" s="250"/>
      <c r="E43" s="250"/>
      <c r="F43" s="250"/>
      <c r="G43" s="253"/>
      <c r="H43" s="253"/>
      <c r="I43" s="250"/>
      <c r="J43" s="255"/>
    </row>
    <row r="44" spans="1:10">
      <c r="A44" s="250"/>
      <c r="B44" s="256"/>
      <c r="C44" s="250"/>
      <c r="D44" s="250"/>
      <c r="E44" s="250"/>
      <c r="F44" s="250"/>
      <c r="G44" s="253"/>
      <c r="H44" s="253"/>
      <c r="I44" s="254"/>
      <c r="J44" s="255"/>
    </row>
    <row r="45" spans="1:10">
      <c r="A45" s="250"/>
      <c r="B45" s="256"/>
      <c r="C45" s="250"/>
      <c r="D45" s="250"/>
      <c r="E45" s="250"/>
      <c r="F45" s="250"/>
      <c r="G45" s="253"/>
      <c r="H45" s="253"/>
      <c r="I45" s="254"/>
      <c r="J45" s="255"/>
    </row>
    <row r="46" spans="1:10">
      <c r="A46" s="250"/>
      <c r="B46" s="256"/>
      <c r="C46" s="250"/>
      <c r="D46" s="250"/>
      <c r="E46" s="250"/>
      <c r="F46" s="250"/>
      <c r="G46" s="253"/>
      <c r="H46" s="253"/>
      <c r="I46" s="254"/>
      <c r="J46" s="255"/>
    </row>
    <row r="47" spans="1:10">
      <c r="A47" s="250"/>
      <c r="B47" s="256"/>
      <c r="C47" s="250"/>
      <c r="D47" s="250"/>
      <c r="E47" s="250"/>
      <c r="F47" s="250"/>
      <c r="G47" s="253"/>
      <c r="H47" s="253"/>
      <c r="I47" s="254"/>
      <c r="J47" s="255"/>
    </row>
    <row r="48" spans="1:10">
      <c r="A48" s="250"/>
      <c r="B48" s="256"/>
      <c r="C48" s="250"/>
      <c r="D48" s="250"/>
      <c r="E48" s="250"/>
      <c r="F48" s="250"/>
      <c r="G48" s="253"/>
      <c r="H48" s="253"/>
      <c r="I48" s="254"/>
      <c r="J48" s="255"/>
    </row>
  </sheetData>
  <sheetProtection sheet="1" objects="1" scenarios="1" selectLockedCells="1"/>
  <mergeCells count="5">
    <mergeCell ref="A4:C4"/>
    <mergeCell ref="A1:I1"/>
    <mergeCell ref="A2:F2"/>
    <mergeCell ref="A3:F3"/>
    <mergeCell ref="G3:I3"/>
  </mergeCells>
  <phoneticPr fontId="2"/>
  <conditionalFormatting sqref="I22:J24 I44:J48 I26:J30 I32:J36 I38:J42">
    <cfRule type="expression" dxfId="7" priority="3" stopIfTrue="1">
      <formula>#REF!=1</formula>
    </cfRule>
  </conditionalFormatting>
  <conditionalFormatting sqref="B22">
    <cfRule type="cellIs" dxfId="6" priority="1" stopIfTrue="1" operator="equal">
      <formula>""</formula>
    </cfRule>
    <cfRule type="cellIs" dxfId="5" priority="2" stopIfTrue="1" operator="notEqual">
      <formula>""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I44:J48 I26:J30 I32:J36 I22:J24 I38:J42">
      <formula1>OR(AND(I22&gt;=0,I22&lt;=5),I22="V0",I22="V1",I22="V2",I22="V3",I22="V4",I22="V5")</formula1>
    </dataValidation>
  </dataValidations>
  <printOptions horizontalCentered="1"/>
  <pageMargins left="0.78740157480314965" right="0.39370078740157483" top="0.39370078740157483" bottom="0.39370078740157483" header="0.59055118110236227" footer="0.39370078740157483"/>
  <pageSetup paperSize="9" fitToHeight="2" orientation="portrait" horizontalDpi="360" verticalDpi="360" r:id="rId1"/>
  <headerFooter alignWithMargins="0"/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view="pageBreakPreview" zoomScaleNormal="100" zoomScaleSheetLayoutView="100" workbookViewId="0">
      <selection activeCell="K4" sqref="K4:K11"/>
    </sheetView>
  </sheetViews>
  <sheetFormatPr defaultRowHeight="12" customHeight="1"/>
  <cols>
    <col min="1" max="1" width="5.140625" style="110" bestFit="1" customWidth="1"/>
    <col min="2" max="2" width="21.7109375" style="110" customWidth="1"/>
    <col min="3" max="3" width="16.7109375" style="110" customWidth="1"/>
    <col min="4" max="4" width="3.7109375" style="110" customWidth="1"/>
    <col min="5" max="5" width="12.7109375" style="110" customWidth="1"/>
    <col min="6" max="6" width="3.7109375" style="110" customWidth="1"/>
    <col min="7" max="7" width="12.7109375" style="110" customWidth="1"/>
    <col min="8" max="8" width="3.7109375" style="115" customWidth="1"/>
    <col min="9" max="9" width="12.7109375" style="110" customWidth="1"/>
    <col min="10" max="10" width="3.7109375" style="110" customWidth="1"/>
    <col min="11" max="11" width="12.7109375" style="110" customWidth="1"/>
    <col min="12" max="16384" width="9.140625" style="110"/>
  </cols>
  <sheetData>
    <row r="1" spans="1:11" s="116" customFormat="1" ht="18" customHeight="1">
      <c r="A1" s="285" t="str">
        <f>名簿!$A$1</f>
        <v>第9回川本杯はしまモアフェンシング大会</v>
      </c>
      <c r="B1" s="285"/>
      <c r="C1" s="285"/>
      <c r="D1" s="285"/>
      <c r="E1" s="285"/>
      <c r="F1" s="285"/>
      <c r="G1" s="285"/>
      <c r="H1" s="285"/>
      <c r="I1" s="112"/>
      <c r="J1" s="112"/>
      <c r="K1" s="112"/>
    </row>
    <row r="2" spans="1:11" ht="18" customHeight="1">
      <c r="A2" s="286" t="str">
        <f>"　"&amp;名簿!$A$2</f>
        <v>　小学1-3年女子</v>
      </c>
      <c r="B2" s="286"/>
      <c r="C2" s="113"/>
      <c r="D2" s="113"/>
      <c r="E2" s="113"/>
      <c r="F2" s="287">
        <f>名簿!E3</f>
        <v>43184</v>
      </c>
      <c r="G2" s="287"/>
      <c r="H2" s="287"/>
      <c r="I2" s="287"/>
      <c r="J2" s="287"/>
      <c r="K2" s="287"/>
    </row>
    <row r="3" spans="1:11" ht="18" customHeight="1">
      <c r="A3" s="113"/>
      <c r="B3" s="113"/>
      <c r="C3" s="113"/>
      <c r="D3" s="113"/>
      <c r="E3" s="113"/>
      <c r="F3" s="114"/>
      <c r="G3" s="114"/>
      <c r="H3" s="114"/>
      <c r="I3" s="114"/>
      <c r="J3" s="114"/>
      <c r="K3" s="114"/>
    </row>
    <row r="4" spans="1:11" ht="10.5" customHeight="1">
      <c r="A4" s="288">
        <v>1</v>
      </c>
      <c r="B4" s="290" t="str">
        <f>IF(ISERROR(VLOOKUP(A4,ｼｰﾄﾞ!$A$6:$C$21,2,0)),"",VLOOKUP(A4,ｼｰﾄﾞ!$A$6:$C$21,2,0))</f>
        <v>京都フューチャー</v>
      </c>
      <c r="C4" s="292" t="str">
        <f>IF(ISERROR(VLOOKUP(A4,ｼｰﾄﾞ!$A$6:$C$21,3,0)),"",VLOOKUP(A4,ｼｰﾄﾞ!$A$6:$C$21,3,0))</f>
        <v>田中　うの</v>
      </c>
      <c r="D4" s="293">
        <v>5</v>
      </c>
      <c r="F4" s="96"/>
      <c r="G4" s="96"/>
      <c r="H4" s="97"/>
      <c r="I4" s="294" t="s">
        <v>28</v>
      </c>
      <c r="J4" s="295"/>
      <c r="K4" s="296" t="str">
        <f>IF(J34="","",J34)</f>
        <v>熊本　詩乃</v>
      </c>
    </row>
    <row r="5" spans="1:11" ht="10.5" customHeight="1">
      <c r="A5" s="289"/>
      <c r="B5" s="291"/>
      <c r="C5" s="292"/>
      <c r="D5" s="293"/>
      <c r="F5" s="96"/>
      <c r="G5" s="96"/>
      <c r="H5" s="97"/>
      <c r="I5" s="294"/>
      <c r="J5" s="295"/>
      <c r="K5" s="297"/>
    </row>
    <row r="6" spans="1:11" ht="10.5" customHeight="1">
      <c r="A6" s="98"/>
      <c r="B6" s="95"/>
      <c r="C6" s="99"/>
      <c r="D6" s="298" t="str">
        <f>IF(B8="",C4,IF(D4="","",IF(D4&lt;D8,C8,C4)))</f>
        <v>田中　うの</v>
      </c>
      <c r="E6" s="299"/>
      <c r="F6" s="302">
        <v>5</v>
      </c>
      <c r="G6" s="96"/>
      <c r="H6" s="97"/>
      <c r="I6" s="294" t="s">
        <v>30</v>
      </c>
      <c r="J6" s="295"/>
      <c r="K6" s="296" t="str">
        <f>IF(J18="","",IF(J50&gt;J18,H18,H50))</f>
        <v>髙橋　ののか</v>
      </c>
    </row>
    <row r="7" spans="1:11" ht="10.5" customHeight="1">
      <c r="A7" s="100"/>
      <c r="B7" s="100"/>
      <c r="C7" s="101"/>
      <c r="D7" s="300"/>
      <c r="E7" s="301"/>
      <c r="F7" s="302"/>
      <c r="G7" s="102"/>
      <c r="H7" s="96"/>
      <c r="I7" s="294"/>
      <c r="J7" s="295"/>
      <c r="K7" s="297"/>
    </row>
    <row r="8" spans="1:11" ht="10.5" customHeight="1">
      <c r="A8" s="303">
        <v>16</v>
      </c>
      <c r="B8" s="290" t="str">
        <f>IF(ISERROR(VLOOKUP(A8,ｼｰﾄﾞ!$A$6:$C$21,2,0)),"",VLOOKUP(A8,ｼｰﾄﾞ!$A$6:$C$21,2,0))</f>
        <v>はしまモア</v>
      </c>
      <c r="C8" s="292" t="str">
        <f>IF(ISERROR(VLOOKUP(A8,ｼｰﾄﾞ!$A$6:$C$21,3,0)),"",VLOOKUP(A8,ｼｰﾄﾞ!$A$6:$C$21,3,0))</f>
        <v>勝野　心空</v>
      </c>
      <c r="D8" s="293">
        <v>0</v>
      </c>
      <c r="E8" s="103"/>
      <c r="F8" s="96"/>
      <c r="G8" s="96"/>
      <c r="H8" s="96"/>
      <c r="I8" s="294" t="s">
        <v>31</v>
      </c>
      <c r="J8" s="295"/>
      <c r="K8" s="296" t="str">
        <f>IF(J65="","",J65)</f>
        <v>古市　颯希</v>
      </c>
    </row>
    <row r="9" spans="1:11" ht="10.5" customHeight="1">
      <c r="A9" s="303"/>
      <c r="B9" s="291"/>
      <c r="C9" s="292"/>
      <c r="D9" s="293"/>
      <c r="E9" s="103"/>
      <c r="F9" s="96"/>
      <c r="G9" s="96"/>
      <c r="H9" s="96"/>
      <c r="I9" s="294"/>
      <c r="J9" s="295"/>
      <c r="K9" s="297"/>
    </row>
    <row r="10" spans="1:11" ht="10.5" customHeight="1">
      <c r="A10" s="98"/>
      <c r="B10" s="95"/>
      <c r="D10" s="118"/>
      <c r="E10" s="103"/>
      <c r="F10" s="298" t="str">
        <f>IF(AND(D14="",D6=""),"",IF(F6="","",IF(F14&lt;F6,D6,D14)))</f>
        <v>田中　うの</v>
      </c>
      <c r="G10" s="299"/>
      <c r="H10" s="302">
        <v>0</v>
      </c>
      <c r="I10" s="294" t="s">
        <v>32</v>
      </c>
      <c r="J10" s="295"/>
      <c r="K10" s="296" t="str">
        <f>IF(J63="","",IF(J67&gt;J63,H63,H67))</f>
        <v>田中　うの</v>
      </c>
    </row>
    <row r="11" spans="1:11" ht="10.5" customHeight="1">
      <c r="A11" s="100"/>
      <c r="B11" s="100"/>
      <c r="C11" s="95"/>
      <c r="D11" s="95"/>
      <c r="E11" s="101"/>
      <c r="F11" s="300"/>
      <c r="G11" s="301"/>
      <c r="H11" s="302"/>
      <c r="I11" s="294"/>
      <c r="J11" s="295"/>
      <c r="K11" s="297"/>
    </row>
    <row r="12" spans="1:11" ht="10.5" customHeight="1">
      <c r="A12" s="288">
        <v>9</v>
      </c>
      <c r="B12" s="290" t="str">
        <f>IF(ISERROR(VLOOKUP(A12,ｼｰﾄﾞ!$A$6:$C$21,2,0)),"",VLOOKUP(A12,ｼｰﾄﾞ!$A$6:$C$21,2,0))</f>
        <v>はしまモア</v>
      </c>
      <c r="C12" s="292" t="str">
        <f>IF(ISERROR(VLOOKUP(A12,ｼｰﾄﾞ!$A$6:$C$21,3,0)),"",VLOOKUP(A12,ｼｰﾄﾞ!$A$6:$C$21,3,0))</f>
        <v>山田　椛暖</v>
      </c>
      <c r="D12" s="293">
        <v>1</v>
      </c>
      <c r="E12" s="101"/>
      <c r="G12" s="103"/>
      <c r="H12" s="96"/>
    </row>
    <row r="13" spans="1:11" ht="10.5" customHeight="1">
      <c r="A13" s="289"/>
      <c r="B13" s="291"/>
      <c r="C13" s="292"/>
      <c r="D13" s="293"/>
      <c r="E13" s="101"/>
      <c r="F13" s="96"/>
      <c r="G13" s="103"/>
      <c r="H13" s="96"/>
    </row>
    <row r="14" spans="1:11" ht="10.5" customHeight="1">
      <c r="A14" s="98"/>
      <c r="B14" s="95"/>
      <c r="C14" s="99"/>
      <c r="D14" s="298" t="str">
        <f>IF(B12="",C16,IF(D16="","",IF(D16&lt;D12,C12,C16)))</f>
        <v>伊東　愛苺</v>
      </c>
      <c r="E14" s="299"/>
      <c r="F14" s="302">
        <v>0</v>
      </c>
      <c r="G14" s="103"/>
      <c r="H14" s="96"/>
    </row>
    <row r="15" spans="1:11" ht="10.5" customHeight="1">
      <c r="A15" s="100"/>
      <c r="B15" s="100"/>
      <c r="C15" s="101"/>
      <c r="D15" s="300"/>
      <c r="E15" s="301"/>
      <c r="F15" s="302"/>
      <c r="G15" s="104"/>
      <c r="H15" s="96"/>
    </row>
    <row r="16" spans="1:11" ht="10.5" customHeight="1">
      <c r="A16" s="303">
        <v>8</v>
      </c>
      <c r="B16" s="290" t="str">
        <f>IF(ISERROR(VLOOKUP(A16,ｼｰﾄﾞ!$A$6:$C$21,2,0)),"",VLOOKUP(A16,ｼｰﾄﾞ!$A$6:$C$21,2,0))</f>
        <v>養老ＦＣ</v>
      </c>
      <c r="C16" s="292" t="str">
        <f>IF(ISERROR(VLOOKUP(A16,ｼｰﾄﾞ!$A$6:$C$21,3,0)),"",VLOOKUP(A16,ｼｰﾄﾞ!$A$6:$C$21,3,0))</f>
        <v>伊東　愛苺</v>
      </c>
      <c r="D16" s="293">
        <v>5</v>
      </c>
      <c r="E16" s="96"/>
      <c r="F16" s="96"/>
      <c r="G16" s="103"/>
      <c r="H16" s="96"/>
    </row>
    <row r="17" spans="1:11" ht="10.5" customHeight="1">
      <c r="A17" s="303"/>
      <c r="B17" s="291"/>
      <c r="C17" s="292"/>
      <c r="D17" s="293"/>
      <c r="E17" s="96"/>
      <c r="F17" s="96"/>
      <c r="G17" s="103"/>
      <c r="H17" s="96"/>
    </row>
    <row r="18" spans="1:11" ht="10.5" customHeight="1">
      <c r="A18" s="100"/>
      <c r="B18" s="100"/>
      <c r="D18" s="96"/>
      <c r="E18" s="96"/>
      <c r="F18" s="96"/>
      <c r="G18" s="103"/>
      <c r="H18" s="298" t="str">
        <f>IF(AND(F26="",F10=""),"",IF(H10="","",IF(H26&lt;H10,F10,F26)))</f>
        <v>髙橋　ののか</v>
      </c>
      <c r="I18" s="299"/>
      <c r="J18" s="302">
        <v>2</v>
      </c>
      <c r="K18" s="100"/>
    </row>
    <row r="19" spans="1:11" ht="10.5" customHeight="1">
      <c r="A19" s="98"/>
      <c r="B19" s="95"/>
      <c r="C19" s="95"/>
      <c r="D19" s="96"/>
      <c r="E19" s="96"/>
      <c r="F19" s="96"/>
      <c r="G19" s="103"/>
      <c r="H19" s="300"/>
      <c r="I19" s="301"/>
      <c r="J19" s="302"/>
      <c r="K19" s="100"/>
    </row>
    <row r="20" spans="1:11" ht="10.5" customHeight="1">
      <c r="A20" s="288">
        <v>5</v>
      </c>
      <c r="B20" s="290" t="str">
        <f>IF(ISERROR(VLOOKUP(A20,ｼｰﾄﾞ!$A$6:$C$21,2,0)),"",VLOOKUP(A20,ｼｰﾄﾞ!$A$6:$C$21,2,0))</f>
        <v>和東Ｊｒ</v>
      </c>
      <c r="C20" s="292" t="str">
        <f>IF(ISERROR(VLOOKUP(A20,ｼｰﾄﾞ!$A$6:$C$21,3,0)),"",VLOOKUP(A20,ｼｰﾄﾞ!$A$6:$C$21,3,0))</f>
        <v>鵜本　翠</v>
      </c>
      <c r="D20" s="293">
        <v>3</v>
      </c>
      <c r="E20" s="96"/>
      <c r="F20" s="96"/>
      <c r="G20" s="103"/>
      <c r="H20" s="96"/>
      <c r="I20" s="99"/>
    </row>
    <row r="21" spans="1:11" ht="10.5" customHeight="1">
      <c r="A21" s="289"/>
      <c r="B21" s="291"/>
      <c r="C21" s="292"/>
      <c r="D21" s="293"/>
      <c r="E21" s="96"/>
      <c r="F21" s="96"/>
      <c r="G21" s="103"/>
      <c r="H21" s="96"/>
      <c r="I21" s="103"/>
    </row>
    <row r="22" spans="1:11" ht="10.5" customHeight="1">
      <c r="A22" s="98"/>
      <c r="B22" s="95"/>
      <c r="C22" s="99"/>
      <c r="D22" s="298" t="str">
        <f>IF(B24="",C20,IF(D20="","",IF(D20&lt;D24,C24,C20)))</f>
        <v>鵜本　翠</v>
      </c>
      <c r="E22" s="299"/>
      <c r="F22" s="302">
        <v>3</v>
      </c>
      <c r="G22" s="103"/>
      <c r="H22" s="96"/>
      <c r="I22" s="99"/>
    </row>
    <row r="23" spans="1:11" ht="10.5" customHeight="1">
      <c r="A23" s="100"/>
      <c r="B23" s="100"/>
      <c r="C23" s="101"/>
      <c r="D23" s="300"/>
      <c r="E23" s="301"/>
      <c r="F23" s="302"/>
      <c r="G23" s="103"/>
      <c r="H23" s="96"/>
      <c r="I23" s="99"/>
    </row>
    <row r="24" spans="1:11" ht="10.5" customHeight="1">
      <c r="A24" s="303">
        <v>12</v>
      </c>
      <c r="B24" s="290" t="str">
        <f>IF(ISERROR(VLOOKUP(A24,ｼｰﾄﾞ!$A$6:$C$21,2,0)),"",VLOOKUP(A24,ｼｰﾄﾞ!$A$6:$C$21,2,0))</f>
        <v>長野ジュニア</v>
      </c>
      <c r="C24" s="292" t="str">
        <f>IF(ISERROR(VLOOKUP(A24,ｼｰﾄﾞ!$A$6:$C$21,3,0)),"",VLOOKUP(A24,ｼｰﾄﾞ!$A$6:$C$21,3,0))</f>
        <v>田中　鈴音</v>
      </c>
      <c r="D24" s="293">
        <v>2</v>
      </c>
      <c r="E24" s="103"/>
      <c r="F24" s="96"/>
      <c r="G24" s="103"/>
      <c r="H24" s="96"/>
      <c r="I24" s="99"/>
    </row>
    <row r="25" spans="1:11" ht="10.5" customHeight="1">
      <c r="A25" s="303"/>
      <c r="B25" s="291"/>
      <c r="C25" s="292"/>
      <c r="D25" s="293"/>
      <c r="E25" s="103"/>
      <c r="F25" s="96"/>
      <c r="G25" s="103"/>
      <c r="H25" s="96"/>
      <c r="I25" s="99"/>
      <c r="J25" s="102"/>
      <c r="K25" s="102"/>
    </row>
    <row r="26" spans="1:11" ht="10.5" customHeight="1">
      <c r="A26" s="98"/>
      <c r="B26" s="95"/>
      <c r="D26" s="118"/>
      <c r="E26" s="103"/>
      <c r="F26" s="298" t="str">
        <f>IF(AND(D30="",D22=""),"",IF(F22="","",IF(F30&lt;F22,D22,D30)))</f>
        <v>髙橋　ののか</v>
      </c>
      <c r="G26" s="299"/>
      <c r="H26" s="302">
        <v>5</v>
      </c>
      <c r="I26" s="99"/>
    </row>
    <row r="27" spans="1:11" ht="10.5" customHeight="1">
      <c r="A27" s="100"/>
      <c r="B27" s="100"/>
      <c r="C27" s="95"/>
      <c r="D27" s="95"/>
      <c r="E27" s="101"/>
      <c r="F27" s="300"/>
      <c r="G27" s="301"/>
      <c r="H27" s="302"/>
      <c r="I27" s="99"/>
    </row>
    <row r="28" spans="1:11" ht="10.5" customHeight="1">
      <c r="A28" s="288">
        <v>13</v>
      </c>
      <c r="B28" s="290" t="str">
        <f>IF(ISERROR(VLOOKUP(A28,ｼｰﾄﾞ!$A$6:$C$21,2,0)),"",VLOOKUP(A28,ｼｰﾄﾞ!$A$6:$C$21,2,0))</f>
        <v>はしまモア</v>
      </c>
      <c r="C28" s="292" t="str">
        <f>IF(ISERROR(VLOOKUP(A28,ｼｰﾄﾞ!$A$6:$C$21,3,0)),"",VLOOKUP(A28,ｼｰﾄﾞ!$A$6:$C$21,3,0))</f>
        <v>後藤　結衣</v>
      </c>
      <c r="D28" s="293">
        <v>0</v>
      </c>
      <c r="E28" s="101"/>
      <c r="G28" s="96"/>
      <c r="H28" s="96"/>
      <c r="I28" s="99"/>
    </row>
    <row r="29" spans="1:11" ht="10.5" customHeight="1">
      <c r="A29" s="289"/>
      <c r="B29" s="291"/>
      <c r="C29" s="292"/>
      <c r="D29" s="293"/>
      <c r="E29" s="101"/>
      <c r="F29" s="96"/>
      <c r="G29" s="96"/>
      <c r="H29" s="96"/>
      <c r="I29" s="99"/>
    </row>
    <row r="30" spans="1:11" ht="10.5" customHeight="1">
      <c r="A30" s="98"/>
      <c r="B30" s="95"/>
      <c r="C30" s="99"/>
      <c r="D30" s="298" t="str">
        <f>IF(B28="",C32,IF(D32="","",IF(D32&lt;D28,C28,C32)))</f>
        <v>髙橋　ののか</v>
      </c>
      <c r="E30" s="299"/>
      <c r="F30" s="302">
        <v>5</v>
      </c>
      <c r="G30" s="96"/>
      <c r="H30" s="96"/>
      <c r="I30" s="99"/>
    </row>
    <row r="31" spans="1:11" ht="10.5" customHeight="1">
      <c r="A31" s="100"/>
      <c r="B31" s="100"/>
      <c r="C31" s="101"/>
      <c r="D31" s="300"/>
      <c r="E31" s="301"/>
      <c r="F31" s="302"/>
      <c r="G31" s="96"/>
      <c r="H31" s="96"/>
      <c r="I31" s="99"/>
    </row>
    <row r="32" spans="1:11" ht="10.5" customHeight="1">
      <c r="A32" s="303">
        <v>4</v>
      </c>
      <c r="B32" s="290" t="str">
        <f>IF(ISERROR(VLOOKUP(A32,ｼｰﾄﾞ!$A$6:$C$21,2,0)),"",VLOOKUP(A32,ｼｰﾄﾞ!$A$6:$C$21,2,0))</f>
        <v>はしまモア</v>
      </c>
      <c r="C32" s="292" t="str">
        <f>IF(ISERROR(VLOOKUP(A32,ｼｰﾄﾞ!$A$6:$C$21,3,0)),"",VLOOKUP(A32,ｼｰﾄﾞ!$A$6:$C$21,3,0))</f>
        <v>髙橋　ののか</v>
      </c>
      <c r="D32" s="293">
        <v>5</v>
      </c>
      <c r="E32" s="96"/>
      <c r="F32" s="96"/>
      <c r="G32" s="96"/>
      <c r="H32" s="95"/>
      <c r="I32" s="99"/>
      <c r="K32" s="304" t="s">
        <v>28</v>
      </c>
    </row>
    <row r="33" spans="1:15" ht="10.5" customHeight="1">
      <c r="A33" s="303"/>
      <c r="B33" s="291"/>
      <c r="C33" s="292"/>
      <c r="D33" s="293"/>
      <c r="E33" s="96"/>
      <c r="F33" s="96"/>
      <c r="G33" s="96"/>
      <c r="H33" s="95"/>
      <c r="I33" s="105"/>
      <c r="K33" s="305"/>
    </row>
    <row r="34" spans="1:15" ht="10.5" customHeight="1">
      <c r="A34" s="100"/>
      <c r="B34" s="100"/>
      <c r="D34" s="96"/>
      <c r="E34" s="96"/>
      <c r="F34" s="96"/>
      <c r="G34" s="96"/>
      <c r="H34" s="95"/>
      <c r="I34" s="99"/>
      <c r="J34" s="298" t="str">
        <f>IF(AND(H50="",H18=""),"",IF(J18="","",IF(J50&lt;J18,H18,H50)))</f>
        <v>熊本　詩乃</v>
      </c>
      <c r="K34" s="299"/>
    </row>
    <row r="35" spans="1:15" ht="10.5" customHeight="1">
      <c r="A35" s="98"/>
      <c r="B35" s="95"/>
      <c r="C35" s="95"/>
      <c r="D35" s="96"/>
      <c r="E35" s="96"/>
      <c r="F35" s="96"/>
      <c r="G35" s="96"/>
      <c r="H35" s="106"/>
      <c r="I35" s="99"/>
      <c r="J35" s="300"/>
      <c r="K35" s="301"/>
      <c r="L35" s="100"/>
      <c r="M35" s="100"/>
      <c r="N35" s="100"/>
      <c r="O35" s="100"/>
    </row>
    <row r="36" spans="1:15" ht="10.5" customHeight="1">
      <c r="A36" s="288">
        <v>3</v>
      </c>
      <c r="B36" s="290" t="str">
        <f>IF(ISERROR(VLOOKUP(A36,ｼｰﾄﾞ!$A$6:$C$21,2,0)),"",VLOOKUP(A36,ｼｰﾄﾞ!$A$6:$C$21,2,0))</f>
        <v>アレ　フェンシング</v>
      </c>
      <c r="C36" s="292" t="str">
        <f>IF(ISERROR(VLOOKUP(A36,ｼｰﾄﾞ!$A$6:$C$21,3,0)),"",VLOOKUP(A36,ｼｰﾄﾞ!$A$6:$C$21,3,0))</f>
        <v>古市　颯希</v>
      </c>
      <c r="D36" s="293">
        <v>5</v>
      </c>
      <c r="E36" s="96"/>
      <c r="F36" s="96"/>
      <c r="G36" s="96"/>
      <c r="H36" s="106"/>
      <c r="I36" s="99"/>
      <c r="K36" s="117"/>
      <c r="L36" s="100"/>
      <c r="M36" s="100"/>
      <c r="N36" s="100"/>
      <c r="O36" s="100"/>
    </row>
    <row r="37" spans="1:15" ht="10.5" customHeight="1">
      <c r="A37" s="289"/>
      <c r="B37" s="291"/>
      <c r="C37" s="292"/>
      <c r="D37" s="293"/>
      <c r="E37" s="96"/>
      <c r="F37" s="96"/>
      <c r="G37" s="96"/>
      <c r="H37" s="106"/>
      <c r="I37" s="99"/>
      <c r="K37" s="100"/>
      <c r="L37" s="100"/>
      <c r="M37" s="100"/>
      <c r="N37" s="100"/>
      <c r="O37" s="100"/>
    </row>
    <row r="38" spans="1:15" ht="10.5" customHeight="1">
      <c r="A38" s="98"/>
      <c r="B38" s="95"/>
      <c r="C38" s="99"/>
      <c r="D38" s="298" t="str">
        <f>IF(B40="",C36,IF(D36="","",IF(D36&lt;D40,C40,C36)))</f>
        <v>古市　颯希</v>
      </c>
      <c r="E38" s="299"/>
      <c r="F38" s="302">
        <v>5</v>
      </c>
      <c r="G38" s="102"/>
      <c r="H38" s="96"/>
      <c r="I38" s="99"/>
      <c r="K38" s="100"/>
      <c r="L38" s="100"/>
      <c r="M38" s="100"/>
      <c r="N38" s="100"/>
      <c r="O38" s="100"/>
    </row>
    <row r="39" spans="1:15" ht="10.5" customHeight="1">
      <c r="A39" s="100"/>
      <c r="B39" s="100"/>
      <c r="C39" s="101"/>
      <c r="D39" s="300"/>
      <c r="E39" s="301"/>
      <c r="F39" s="302"/>
      <c r="G39" s="96"/>
      <c r="H39" s="96"/>
      <c r="I39" s="99"/>
      <c r="K39" s="100"/>
      <c r="L39" s="100"/>
      <c r="M39" s="100"/>
      <c r="N39" s="100"/>
      <c r="O39" s="100"/>
    </row>
    <row r="40" spans="1:15" ht="10.5" customHeight="1">
      <c r="A40" s="303">
        <v>14</v>
      </c>
      <c r="B40" s="290" t="str">
        <f>IF(ISERROR(VLOOKUP(A40,ｼｰﾄﾞ!$A$6:$C$21,2,0)),"",VLOOKUP(A40,ｼｰﾄﾞ!$A$6:$C$21,2,0))</f>
        <v>長野ジュニア</v>
      </c>
      <c r="C40" s="292" t="str">
        <f>IF(ISERROR(VLOOKUP(A40,ｼｰﾄﾞ!$A$6:$C$21,3,0)),"",VLOOKUP(A40,ｼｰﾄﾞ!$A$6:$C$21,3,0))</f>
        <v>原　悠莉</v>
      </c>
      <c r="D40" s="293">
        <v>1</v>
      </c>
      <c r="E40" s="103"/>
      <c r="F40" s="96"/>
      <c r="G40" s="96"/>
      <c r="H40" s="96"/>
      <c r="I40" s="99"/>
      <c r="J40" s="100"/>
      <c r="K40" s="100"/>
      <c r="L40" s="100"/>
      <c r="M40" s="100"/>
      <c r="N40" s="100"/>
      <c r="O40" s="100"/>
    </row>
    <row r="41" spans="1:15" ht="10.5" customHeight="1">
      <c r="A41" s="303"/>
      <c r="B41" s="291"/>
      <c r="C41" s="292"/>
      <c r="D41" s="293"/>
      <c r="E41" s="103"/>
      <c r="G41" s="96"/>
      <c r="H41" s="96"/>
      <c r="I41" s="99"/>
      <c r="J41" s="100"/>
      <c r="K41" s="100"/>
      <c r="L41" s="100"/>
      <c r="M41" s="100"/>
      <c r="N41" s="100"/>
      <c r="O41" s="100"/>
    </row>
    <row r="42" spans="1:15" ht="10.5" customHeight="1">
      <c r="A42" s="98"/>
      <c r="B42" s="95"/>
      <c r="D42" s="118"/>
      <c r="E42" s="103"/>
      <c r="F42" s="298" t="str">
        <f>IF(AND(D46="",D38=""),"",IF(F38="","",IF(F46&lt;F38,D38,D46)))</f>
        <v>古市　颯希</v>
      </c>
      <c r="G42" s="299"/>
      <c r="H42" s="302">
        <v>4</v>
      </c>
      <c r="I42" s="99"/>
      <c r="J42" s="100"/>
      <c r="K42" s="100"/>
      <c r="L42" s="100"/>
      <c r="M42" s="100"/>
      <c r="N42" s="100"/>
      <c r="O42" s="100"/>
    </row>
    <row r="43" spans="1:15" ht="10.5" customHeight="1">
      <c r="A43" s="100"/>
      <c r="B43" s="100"/>
      <c r="C43" s="95"/>
      <c r="D43" s="95"/>
      <c r="E43" s="101"/>
      <c r="F43" s="300"/>
      <c r="G43" s="301"/>
      <c r="H43" s="302"/>
      <c r="I43" s="99"/>
      <c r="J43" s="100"/>
      <c r="K43" s="100"/>
      <c r="L43" s="100"/>
      <c r="M43" s="100"/>
      <c r="N43" s="100"/>
      <c r="O43" s="100"/>
    </row>
    <row r="44" spans="1:15" ht="10.5" customHeight="1">
      <c r="A44" s="288">
        <v>11</v>
      </c>
      <c r="B44" s="290" t="str">
        <f>IF(ISERROR(VLOOKUP(A44,ｼｰﾄﾞ!$A$6:$C$21,2,0)),"",VLOOKUP(A44,ｼｰﾄﾞ!$A$6:$C$21,2,0))</f>
        <v>滋賀ＪＦＣ</v>
      </c>
      <c r="C44" s="292" t="str">
        <f>IF(ISERROR(VLOOKUP(A44,ｼｰﾄﾞ!$A$6:$C$21,3,0)),"",VLOOKUP(A44,ｼｰﾄﾞ!$A$6:$C$21,3,0))</f>
        <v>畑中　七葉</v>
      </c>
      <c r="D44" s="293">
        <v>1</v>
      </c>
      <c r="E44" s="101"/>
      <c r="F44" s="96"/>
      <c r="G44" s="103"/>
      <c r="H44" s="96"/>
      <c r="I44" s="99"/>
      <c r="J44" s="100"/>
      <c r="K44" s="100"/>
      <c r="L44" s="100"/>
      <c r="M44" s="100"/>
      <c r="N44" s="100"/>
      <c r="O44" s="100"/>
    </row>
    <row r="45" spans="1:15" ht="10.5" customHeight="1">
      <c r="A45" s="289"/>
      <c r="B45" s="291"/>
      <c r="C45" s="292"/>
      <c r="D45" s="293"/>
      <c r="E45" s="101"/>
      <c r="F45" s="96"/>
      <c r="G45" s="103"/>
      <c r="H45" s="96"/>
      <c r="I45" s="99"/>
      <c r="J45" s="100"/>
      <c r="K45" s="100"/>
      <c r="L45" s="100"/>
      <c r="M45" s="100"/>
      <c r="N45" s="100"/>
      <c r="O45" s="100"/>
    </row>
    <row r="46" spans="1:15" ht="10.5" customHeight="1">
      <c r="A46" s="98"/>
      <c r="B46" s="95"/>
      <c r="C46" s="99"/>
      <c r="D46" s="298" t="str">
        <f>IF(B44="",C48,IF(D48="","",IF(D48&lt;D44,C44,C48)))</f>
        <v>杉山　妃埜</v>
      </c>
      <c r="E46" s="299"/>
      <c r="F46" s="302">
        <v>1</v>
      </c>
      <c r="G46" s="103"/>
      <c r="H46" s="96"/>
      <c r="I46" s="99"/>
      <c r="J46" s="100"/>
      <c r="K46" s="100"/>
      <c r="L46" s="100"/>
      <c r="M46" s="100"/>
      <c r="N46" s="100"/>
      <c r="O46" s="100"/>
    </row>
    <row r="47" spans="1:15" ht="10.5" customHeight="1">
      <c r="A47" s="100"/>
      <c r="B47" s="100"/>
      <c r="C47" s="101"/>
      <c r="D47" s="300"/>
      <c r="E47" s="301"/>
      <c r="F47" s="302"/>
      <c r="G47" s="103"/>
      <c r="H47" s="96"/>
      <c r="I47" s="99"/>
      <c r="J47" s="100"/>
      <c r="K47" s="100"/>
      <c r="L47" s="100"/>
      <c r="M47" s="100"/>
      <c r="N47" s="100"/>
      <c r="O47" s="100"/>
    </row>
    <row r="48" spans="1:15" ht="10.5" customHeight="1">
      <c r="A48" s="303">
        <v>6</v>
      </c>
      <c r="B48" s="290" t="str">
        <f>IF(ISERROR(VLOOKUP(A48,ｼｰﾄﾞ!$A$6:$C$21,2,0)),"",VLOOKUP(A48,ｼｰﾄﾞ!$A$6:$C$21,2,0))</f>
        <v>はしまモア</v>
      </c>
      <c r="C48" s="292" t="str">
        <f>IF(ISERROR(VLOOKUP(A48,ｼｰﾄﾞ!$A$6:$C$21,3,0)),"",VLOOKUP(A48,ｼｰﾄﾞ!$A$6:$C$21,3,0))</f>
        <v>杉山　妃埜</v>
      </c>
      <c r="D48" s="293">
        <v>5</v>
      </c>
      <c r="E48" s="96"/>
      <c r="F48" s="96"/>
      <c r="G48" s="103"/>
      <c r="H48" s="96"/>
      <c r="I48" s="99"/>
      <c r="J48" s="107"/>
      <c r="K48" s="100"/>
      <c r="L48" s="100"/>
      <c r="M48" s="100"/>
      <c r="N48" s="100"/>
      <c r="O48" s="100"/>
    </row>
    <row r="49" spans="1:15" ht="10.5" customHeight="1">
      <c r="A49" s="303"/>
      <c r="B49" s="291"/>
      <c r="C49" s="292"/>
      <c r="D49" s="293"/>
      <c r="E49" s="96"/>
      <c r="F49" s="96"/>
      <c r="G49" s="103"/>
      <c r="H49" s="96"/>
      <c r="I49" s="99"/>
      <c r="J49" s="107"/>
      <c r="K49" s="100"/>
      <c r="L49" s="100"/>
      <c r="M49" s="100"/>
      <c r="N49" s="100"/>
      <c r="O49" s="100"/>
    </row>
    <row r="50" spans="1:15" ht="10.5" customHeight="1">
      <c r="A50" s="100"/>
      <c r="B50" s="100"/>
      <c r="D50" s="96"/>
      <c r="E50" s="96"/>
      <c r="F50" s="96"/>
      <c r="G50" s="103"/>
      <c r="H50" s="298" t="str">
        <f>IF(AND(F58="",F42=""),"",IF(H42="","",IF(H58&lt;H42,F42,F58)))</f>
        <v>熊本　詩乃</v>
      </c>
      <c r="I50" s="299"/>
      <c r="J50" s="302">
        <v>5</v>
      </c>
      <c r="K50" s="100"/>
      <c r="L50" s="100"/>
      <c r="M50" s="100"/>
      <c r="N50" s="100"/>
      <c r="O50" s="100"/>
    </row>
    <row r="51" spans="1:15" ht="10.5" customHeight="1">
      <c r="A51" s="98"/>
      <c r="B51" s="95"/>
      <c r="C51" s="95"/>
      <c r="D51" s="96"/>
      <c r="E51" s="96"/>
      <c r="F51" s="96"/>
      <c r="G51" s="103"/>
      <c r="H51" s="300"/>
      <c r="I51" s="301"/>
      <c r="J51" s="302"/>
      <c r="K51" s="100"/>
      <c r="L51" s="100"/>
      <c r="M51" s="100"/>
      <c r="N51" s="100"/>
      <c r="O51" s="100"/>
    </row>
    <row r="52" spans="1:15" ht="10.5" customHeight="1">
      <c r="A52" s="288">
        <v>7</v>
      </c>
      <c r="B52" s="290" t="str">
        <f>IF(ISERROR(VLOOKUP(A52,ｼｰﾄﾞ!$A$6:$C$21,2,0)),"",VLOOKUP(A52,ｼｰﾄﾞ!$A$6:$C$21,2,0))</f>
        <v>養老ＦＣ</v>
      </c>
      <c r="C52" s="292" t="str">
        <f>IF(ISERROR(VLOOKUP(A52,ｼｰﾄﾞ!$A$6:$C$21,3,0)),"",VLOOKUP(A52,ｼｰﾄﾞ!$A$6:$C$21,3,0))</f>
        <v>三輪　楓華</v>
      </c>
      <c r="D52" s="293">
        <v>5</v>
      </c>
      <c r="E52" s="96"/>
      <c r="F52" s="96"/>
      <c r="G52" s="103"/>
      <c r="H52" s="96"/>
      <c r="K52" s="100"/>
      <c r="L52" s="100"/>
      <c r="M52" s="100"/>
      <c r="N52" s="100"/>
      <c r="O52" s="100"/>
    </row>
    <row r="53" spans="1:15" ht="10.5" customHeight="1">
      <c r="A53" s="289"/>
      <c r="B53" s="291"/>
      <c r="C53" s="292"/>
      <c r="D53" s="293"/>
      <c r="E53" s="96"/>
      <c r="F53" s="96"/>
      <c r="G53" s="103"/>
      <c r="H53" s="96"/>
      <c r="I53" s="102"/>
      <c r="J53" s="102"/>
      <c r="K53" s="100"/>
      <c r="L53" s="100"/>
      <c r="M53" s="100"/>
      <c r="N53" s="100"/>
      <c r="O53" s="100"/>
    </row>
    <row r="54" spans="1:15" ht="10.5" customHeight="1">
      <c r="A54" s="98"/>
      <c r="B54" s="95"/>
      <c r="C54" s="99"/>
      <c r="D54" s="298" t="str">
        <f>IF(B56="",C52,IF(D52="","",IF(D52&lt;D56,C56,C52)))</f>
        <v>三輪　楓華</v>
      </c>
      <c r="E54" s="299"/>
      <c r="F54" s="302">
        <v>3</v>
      </c>
      <c r="G54" s="103"/>
      <c r="H54" s="96"/>
      <c r="J54" s="100"/>
      <c r="K54" s="100"/>
      <c r="L54" s="100"/>
      <c r="M54" s="100"/>
      <c r="N54" s="100"/>
      <c r="O54" s="100"/>
    </row>
    <row r="55" spans="1:15" ht="10.5" customHeight="1">
      <c r="A55" s="100"/>
      <c r="B55" s="100"/>
      <c r="C55" s="101"/>
      <c r="D55" s="300"/>
      <c r="E55" s="301"/>
      <c r="F55" s="302"/>
      <c r="G55" s="103"/>
      <c r="H55" s="96"/>
      <c r="J55" s="100"/>
      <c r="K55" s="100"/>
      <c r="L55" s="100"/>
      <c r="M55" s="100"/>
      <c r="N55" s="100"/>
      <c r="O55" s="100"/>
    </row>
    <row r="56" spans="1:15" ht="10.5" customHeight="1">
      <c r="A56" s="303">
        <v>10</v>
      </c>
      <c r="B56" s="290" t="str">
        <f>IF(ISERROR(VLOOKUP(A56,ｼｰﾄﾞ!$A$6:$C$21,2,0)),"",VLOOKUP(A56,ｼｰﾄﾞ!$A$6:$C$21,2,0))</f>
        <v>はしまモア</v>
      </c>
      <c r="C56" s="292" t="str">
        <f>IF(ISERROR(VLOOKUP(A56,ｼｰﾄﾞ!$A$6:$C$21,3,0)),"",VLOOKUP(A56,ｼｰﾄﾞ!$A$6:$C$21,3,0))</f>
        <v>石黒　莉愛</v>
      </c>
      <c r="D56" s="293">
        <v>1</v>
      </c>
      <c r="E56" s="103"/>
      <c r="F56" s="96"/>
      <c r="G56" s="103"/>
      <c r="H56" s="96"/>
      <c r="I56" s="100"/>
      <c r="J56" s="100"/>
      <c r="K56" s="100"/>
      <c r="L56" s="100"/>
      <c r="M56" s="100"/>
      <c r="N56" s="100"/>
      <c r="O56" s="100"/>
    </row>
    <row r="57" spans="1:15" ht="10.5" customHeight="1">
      <c r="A57" s="303"/>
      <c r="B57" s="291"/>
      <c r="C57" s="292"/>
      <c r="D57" s="293"/>
      <c r="E57" s="103"/>
      <c r="G57" s="108"/>
      <c r="H57" s="96"/>
      <c r="I57" s="100"/>
      <c r="J57" s="100"/>
      <c r="K57" s="100"/>
      <c r="L57" s="100"/>
      <c r="M57" s="100"/>
      <c r="N57" s="100"/>
      <c r="O57" s="100"/>
    </row>
    <row r="58" spans="1:15" ht="10.5" customHeight="1">
      <c r="A58" s="98"/>
      <c r="B58" s="95"/>
      <c r="D58" s="118"/>
      <c r="E58" s="103"/>
      <c r="F58" s="298" t="str">
        <f>IF(AND(D62="",D54=""),"",IF(F54="","",IF(F62&lt;F54,D54,D62)))</f>
        <v>熊本　詩乃</v>
      </c>
      <c r="G58" s="299"/>
      <c r="H58" s="302">
        <v>5</v>
      </c>
      <c r="I58" s="100"/>
      <c r="J58" s="100"/>
      <c r="K58" s="100"/>
      <c r="L58" s="100"/>
      <c r="M58" s="100"/>
      <c r="N58" s="100"/>
      <c r="O58" s="100"/>
    </row>
    <row r="59" spans="1:15" ht="10.5" customHeight="1">
      <c r="A59" s="100"/>
      <c r="B59" s="100"/>
      <c r="C59" s="95"/>
      <c r="D59" s="95"/>
      <c r="E59" s="101"/>
      <c r="F59" s="300"/>
      <c r="G59" s="301"/>
      <c r="H59" s="302"/>
      <c r="I59" s="100"/>
      <c r="J59" s="100"/>
      <c r="K59" s="100"/>
      <c r="L59" s="100"/>
      <c r="M59" s="100"/>
      <c r="N59" s="100"/>
      <c r="O59" s="100"/>
    </row>
    <row r="60" spans="1:15" ht="10.5" customHeight="1">
      <c r="A60" s="288">
        <v>15</v>
      </c>
      <c r="B60" s="290" t="str">
        <f>IF(ISERROR(VLOOKUP(A60,ｼｰﾄﾞ!$A$6:$C$21,2,0)),"",VLOOKUP(A60,ｼｰﾄﾞ!$A$6:$C$21,2,0))</f>
        <v>武生ＪＦＣ</v>
      </c>
      <c r="C60" s="292" t="str">
        <f>IF(ISERROR(VLOOKUP(A60,ｼｰﾄﾞ!$A$6:$C$21,3,0)),"",VLOOKUP(A60,ｼｰﾄﾞ!$A$6:$C$21,3,0))</f>
        <v>矢部　結愛</v>
      </c>
      <c r="D60" s="293">
        <v>0</v>
      </c>
      <c r="E60" s="101"/>
      <c r="F60" s="96"/>
      <c r="G60" s="96"/>
      <c r="H60" s="110"/>
      <c r="K60" s="100"/>
      <c r="L60" s="100"/>
      <c r="M60" s="100"/>
      <c r="N60" s="100"/>
      <c r="O60" s="100"/>
    </row>
    <row r="61" spans="1:15" ht="10.5" customHeight="1">
      <c r="A61" s="289"/>
      <c r="B61" s="291"/>
      <c r="C61" s="292"/>
      <c r="D61" s="293"/>
      <c r="E61" s="101"/>
      <c r="F61" s="96"/>
      <c r="G61" s="96"/>
      <c r="H61" s="309" t="s">
        <v>27</v>
      </c>
      <c r="I61" s="309"/>
      <c r="J61" s="100"/>
      <c r="K61" s="100"/>
      <c r="L61" s="100"/>
      <c r="M61" s="100"/>
      <c r="N61" s="100"/>
      <c r="O61" s="100"/>
    </row>
    <row r="62" spans="1:15" ht="10.5" customHeight="1">
      <c r="A62" s="98"/>
      <c r="B62" s="95"/>
      <c r="C62" s="99"/>
      <c r="D62" s="298" t="str">
        <f>IF(B60="",C64,IF(D64="","",IF(D64&lt;D60,C60,C64)))</f>
        <v>熊本　詩乃</v>
      </c>
      <c r="E62" s="299"/>
      <c r="F62" s="302">
        <v>5</v>
      </c>
      <c r="G62" s="96"/>
      <c r="H62" s="310"/>
      <c r="I62" s="310"/>
      <c r="K62" s="100"/>
      <c r="L62" s="100"/>
      <c r="M62" s="100"/>
      <c r="N62" s="100"/>
      <c r="O62" s="100"/>
    </row>
    <row r="63" spans="1:15" ht="10.5" customHeight="1">
      <c r="A63" s="100"/>
      <c r="B63" s="100"/>
      <c r="C63" s="101"/>
      <c r="D63" s="300"/>
      <c r="E63" s="301"/>
      <c r="F63" s="302"/>
      <c r="G63" s="96"/>
      <c r="H63" s="298" t="str">
        <f>IF(F10="","",IF(H26&lt;H10,F26,F10))</f>
        <v>田中　うの</v>
      </c>
      <c r="I63" s="299"/>
      <c r="J63" s="307">
        <v>2</v>
      </c>
      <c r="K63" s="100"/>
      <c r="L63" s="100"/>
      <c r="M63" s="100"/>
      <c r="N63" s="100"/>
      <c r="O63" s="100"/>
    </row>
    <row r="64" spans="1:15" ht="10.5" customHeight="1">
      <c r="A64" s="303">
        <v>2</v>
      </c>
      <c r="B64" s="290" t="str">
        <f>IF(ISERROR(VLOOKUP(A64,ｼｰﾄﾞ!$A$6:$C$21,2,0)),"",VLOOKUP(A64,ｼｰﾄﾞ!$A$6:$C$21,2,0))</f>
        <v>京都フューチャー</v>
      </c>
      <c r="C64" s="292" t="str">
        <f>IF(ISERROR(VLOOKUP(A64,ｼｰﾄﾞ!$A$6:$C$21,3,0)),"",VLOOKUP(A64,ｼｰﾄﾞ!$A$6:$C$21,3,0))</f>
        <v>熊本　詩乃</v>
      </c>
      <c r="D64" s="293">
        <v>5</v>
      </c>
      <c r="E64" s="96"/>
      <c r="F64" s="96"/>
      <c r="G64" s="96"/>
      <c r="H64" s="300"/>
      <c r="I64" s="301"/>
      <c r="J64" s="308"/>
      <c r="K64" s="111"/>
      <c r="L64" s="100"/>
      <c r="M64" s="100"/>
      <c r="N64" s="100"/>
      <c r="O64" s="100"/>
    </row>
    <row r="65" spans="1:15" ht="10.5" customHeight="1">
      <c r="A65" s="303"/>
      <c r="B65" s="291"/>
      <c r="C65" s="292"/>
      <c r="D65" s="293"/>
      <c r="E65" s="96"/>
      <c r="F65" s="96"/>
      <c r="G65" s="96"/>
      <c r="H65" s="100"/>
      <c r="I65" s="100"/>
      <c r="J65" s="298" t="str">
        <f>IF(J63="","",IF(J67&lt;J63,H63,H67))</f>
        <v>古市　颯希</v>
      </c>
      <c r="K65" s="299"/>
      <c r="L65" s="100"/>
      <c r="M65" s="100"/>
      <c r="N65" s="100"/>
      <c r="O65" s="100"/>
    </row>
    <row r="66" spans="1:15" ht="10.5" customHeight="1">
      <c r="H66" s="100"/>
      <c r="I66" s="100"/>
      <c r="J66" s="300"/>
      <c r="K66" s="301"/>
      <c r="L66" s="100"/>
      <c r="M66" s="100"/>
      <c r="N66" s="100"/>
      <c r="O66" s="100"/>
    </row>
    <row r="67" spans="1:15" ht="10.5" customHeight="1">
      <c r="H67" s="298" t="str">
        <f>IF(F42="","",IF(H42&lt;H58,F42,F58))</f>
        <v>古市　颯希</v>
      </c>
      <c r="I67" s="299"/>
      <c r="J67" s="306">
        <v>5</v>
      </c>
      <c r="K67" s="109"/>
      <c r="L67" s="100"/>
      <c r="M67" s="100"/>
      <c r="N67" s="100"/>
      <c r="O67" s="100"/>
    </row>
    <row r="68" spans="1:15" ht="10.5" customHeight="1">
      <c r="H68" s="300"/>
      <c r="I68" s="301"/>
      <c r="J68" s="307"/>
      <c r="L68" s="100"/>
      <c r="M68" s="100"/>
      <c r="N68" s="100"/>
      <c r="O68" s="100"/>
    </row>
    <row r="69" spans="1:15" ht="12" customHeight="1">
      <c r="H69" s="110"/>
      <c r="L69" s="100"/>
      <c r="M69" s="100"/>
      <c r="N69" s="100"/>
      <c r="O69" s="100"/>
    </row>
    <row r="70" spans="1:15" ht="12" customHeight="1">
      <c r="H70" s="110"/>
      <c r="L70" s="100"/>
      <c r="M70" s="100"/>
      <c r="N70" s="100"/>
      <c r="O70" s="100"/>
    </row>
    <row r="71" spans="1:15" ht="12" customHeight="1">
      <c r="H71" s="110"/>
      <c r="L71" s="100"/>
      <c r="M71" s="100"/>
      <c r="N71" s="100"/>
      <c r="O71" s="100"/>
    </row>
    <row r="72" spans="1:15" ht="12" customHeight="1">
      <c r="H72" s="110"/>
      <c r="L72" s="100"/>
      <c r="M72" s="100"/>
      <c r="N72" s="100"/>
      <c r="O72" s="100"/>
    </row>
    <row r="73" spans="1:15" ht="12" customHeight="1">
      <c r="H73" s="110"/>
      <c r="L73" s="100"/>
      <c r="M73" s="100"/>
      <c r="N73" s="100"/>
      <c r="O73" s="100"/>
    </row>
    <row r="74" spans="1:15" ht="12" customHeight="1">
      <c r="H74" s="110"/>
      <c r="L74" s="100"/>
      <c r="M74" s="100"/>
      <c r="N74" s="100"/>
      <c r="O74" s="100"/>
    </row>
    <row r="75" spans="1:15" ht="12" customHeight="1">
      <c r="H75" s="110"/>
      <c r="L75" s="100"/>
      <c r="M75" s="100"/>
      <c r="N75" s="100"/>
      <c r="O75" s="100"/>
    </row>
    <row r="76" spans="1:15" ht="12" customHeight="1">
      <c r="I76" s="100"/>
      <c r="J76" s="100"/>
      <c r="K76" s="100"/>
      <c r="L76" s="100"/>
      <c r="M76" s="100"/>
      <c r="N76" s="100"/>
      <c r="O76" s="100"/>
    </row>
    <row r="77" spans="1:15" ht="12" customHeight="1">
      <c r="I77" s="100"/>
      <c r="J77" s="100"/>
      <c r="K77" s="100"/>
      <c r="L77" s="100"/>
      <c r="M77" s="100"/>
      <c r="N77" s="100"/>
      <c r="O77" s="100"/>
    </row>
    <row r="78" spans="1:15" ht="12" customHeight="1">
      <c r="I78" s="100"/>
      <c r="J78" s="100"/>
      <c r="K78" s="100"/>
      <c r="L78" s="100"/>
      <c r="M78" s="100"/>
      <c r="N78" s="100"/>
      <c r="O78" s="100"/>
    </row>
    <row r="79" spans="1:15" ht="12" customHeight="1">
      <c r="I79" s="100"/>
      <c r="J79" s="100"/>
      <c r="K79" s="100"/>
      <c r="L79" s="100"/>
      <c r="M79" s="100"/>
      <c r="N79" s="100"/>
      <c r="O79" s="100"/>
    </row>
    <row r="80" spans="1:15" ht="12" customHeight="1">
      <c r="I80" s="100"/>
      <c r="J80" s="100"/>
      <c r="K80" s="100"/>
      <c r="L80" s="100"/>
      <c r="M80" s="100"/>
      <c r="N80" s="100"/>
      <c r="O80" s="100"/>
    </row>
    <row r="81" spans="9:15" ht="12" customHeight="1">
      <c r="I81" s="100"/>
      <c r="J81" s="100"/>
      <c r="K81" s="100"/>
      <c r="L81" s="100"/>
      <c r="M81" s="100"/>
      <c r="N81" s="100"/>
      <c r="O81" s="100"/>
    </row>
    <row r="82" spans="9:15" ht="12" customHeight="1">
      <c r="I82" s="100"/>
      <c r="J82" s="100"/>
      <c r="K82" s="100"/>
      <c r="L82" s="100"/>
      <c r="M82" s="100"/>
      <c r="N82" s="100"/>
      <c r="O82" s="100"/>
    </row>
    <row r="83" spans="9:15" ht="12" customHeight="1">
      <c r="I83" s="100"/>
      <c r="J83" s="100"/>
      <c r="K83" s="100"/>
      <c r="L83" s="100"/>
      <c r="M83" s="100"/>
      <c r="N83" s="100"/>
      <c r="O83" s="100"/>
    </row>
    <row r="84" spans="9:15" ht="12" customHeight="1">
      <c r="I84" s="100"/>
      <c r="J84" s="100"/>
      <c r="K84" s="100"/>
      <c r="L84" s="100"/>
      <c r="M84" s="100"/>
      <c r="N84" s="100"/>
      <c r="O84" s="100"/>
    </row>
    <row r="85" spans="9:15" ht="12" customHeight="1">
      <c r="I85" s="100"/>
      <c r="J85" s="100"/>
      <c r="K85" s="100"/>
      <c r="L85" s="100"/>
      <c r="M85" s="100"/>
      <c r="N85" s="100"/>
      <c r="O85" s="100"/>
    </row>
    <row r="86" spans="9:15" ht="12" customHeight="1">
      <c r="I86" s="100"/>
      <c r="J86" s="100"/>
      <c r="K86" s="100"/>
      <c r="L86" s="100"/>
      <c r="M86" s="100"/>
      <c r="N86" s="100"/>
      <c r="O86" s="100"/>
    </row>
    <row r="87" spans="9:15" ht="12" customHeight="1">
      <c r="I87" s="100"/>
      <c r="J87" s="100"/>
      <c r="K87" s="100"/>
      <c r="L87" s="100"/>
      <c r="M87" s="100"/>
      <c r="N87" s="100"/>
      <c r="O87" s="100"/>
    </row>
    <row r="88" spans="9:15" ht="12" customHeight="1">
      <c r="I88" s="100"/>
      <c r="J88" s="100"/>
      <c r="K88" s="100"/>
      <c r="L88" s="100"/>
      <c r="M88" s="100"/>
      <c r="N88" s="100"/>
      <c r="O88" s="100"/>
    </row>
    <row r="89" spans="9:15" ht="12" customHeight="1">
      <c r="I89" s="100"/>
      <c r="J89" s="100"/>
      <c r="K89" s="100"/>
      <c r="L89" s="100"/>
      <c r="M89" s="100"/>
      <c r="N89" s="100"/>
      <c r="O89" s="100"/>
    </row>
    <row r="90" spans="9:15" ht="12" customHeight="1">
      <c r="I90" s="100"/>
      <c r="J90" s="100"/>
      <c r="K90" s="100"/>
      <c r="L90" s="100"/>
      <c r="M90" s="100"/>
      <c r="N90" s="100"/>
      <c r="O90" s="100"/>
    </row>
    <row r="91" spans="9:15" ht="12" customHeight="1">
      <c r="I91" s="100"/>
      <c r="J91" s="100"/>
      <c r="K91" s="100"/>
      <c r="L91" s="100"/>
      <c r="M91" s="100"/>
      <c r="N91" s="100"/>
      <c r="O91" s="100"/>
    </row>
    <row r="92" spans="9:15" ht="12" customHeight="1">
      <c r="L92" s="100"/>
      <c r="M92" s="100"/>
      <c r="N92" s="100"/>
      <c r="O92" s="100"/>
    </row>
    <row r="93" spans="9:15" ht="12" customHeight="1">
      <c r="L93" s="100"/>
      <c r="M93" s="100"/>
      <c r="N93" s="100"/>
      <c r="O93" s="100"/>
    </row>
  </sheetData>
  <sheetProtection formatCells="0" selectLockedCells="1"/>
  <mergeCells count="111">
    <mergeCell ref="H67:I68"/>
    <mergeCell ref="J67:J68"/>
    <mergeCell ref="J63:J64"/>
    <mergeCell ref="A64:A65"/>
    <mergeCell ref="B64:B65"/>
    <mergeCell ref="C64:C65"/>
    <mergeCell ref="D64:D65"/>
    <mergeCell ref="J65:K66"/>
    <mergeCell ref="F58:G59"/>
    <mergeCell ref="H58:H59"/>
    <mergeCell ref="A60:A61"/>
    <mergeCell ref="B60:B61"/>
    <mergeCell ref="C60:C61"/>
    <mergeCell ref="D60:D61"/>
    <mergeCell ref="H61:I62"/>
    <mergeCell ref="D62:E63"/>
    <mergeCell ref="F62:F63"/>
    <mergeCell ref="H63:I64"/>
    <mergeCell ref="D54:E55"/>
    <mergeCell ref="F54:F55"/>
    <mergeCell ref="A56:A57"/>
    <mergeCell ref="B56:B57"/>
    <mergeCell ref="C56:C57"/>
    <mergeCell ref="D56:D57"/>
    <mergeCell ref="H50:I51"/>
    <mergeCell ref="J50:J51"/>
    <mergeCell ref="A52:A53"/>
    <mergeCell ref="B52:B53"/>
    <mergeCell ref="C52:C53"/>
    <mergeCell ref="D52:D53"/>
    <mergeCell ref="D46:E47"/>
    <mergeCell ref="F46:F47"/>
    <mergeCell ref="A48:A49"/>
    <mergeCell ref="B48:B49"/>
    <mergeCell ref="C48:C49"/>
    <mergeCell ref="D48:D49"/>
    <mergeCell ref="F42:G43"/>
    <mergeCell ref="H42:H43"/>
    <mergeCell ref="A44:A45"/>
    <mergeCell ref="B44:B45"/>
    <mergeCell ref="C44:C45"/>
    <mergeCell ref="D44:D45"/>
    <mergeCell ref="D38:E39"/>
    <mergeCell ref="F38:F39"/>
    <mergeCell ref="A40:A41"/>
    <mergeCell ref="B40:B41"/>
    <mergeCell ref="C40:C41"/>
    <mergeCell ref="D40:D41"/>
    <mergeCell ref="J34:K35"/>
    <mergeCell ref="K32:K33"/>
    <mergeCell ref="A36:A37"/>
    <mergeCell ref="B36:B37"/>
    <mergeCell ref="C36:C37"/>
    <mergeCell ref="D36:D37"/>
    <mergeCell ref="D30:E31"/>
    <mergeCell ref="F30:F31"/>
    <mergeCell ref="A32:A33"/>
    <mergeCell ref="B32:B33"/>
    <mergeCell ref="C32:C33"/>
    <mergeCell ref="D32:D33"/>
    <mergeCell ref="F26:G27"/>
    <mergeCell ref="H26:H27"/>
    <mergeCell ref="A28:A29"/>
    <mergeCell ref="B28:B29"/>
    <mergeCell ref="C28:C29"/>
    <mergeCell ref="D28:D29"/>
    <mergeCell ref="D22:E23"/>
    <mergeCell ref="F22:F23"/>
    <mergeCell ref="A24:A25"/>
    <mergeCell ref="B24:B25"/>
    <mergeCell ref="C24:C25"/>
    <mergeCell ref="D24:D25"/>
    <mergeCell ref="H18:I19"/>
    <mergeCell ref="J18:J19"/>
    <mergeCell ref="A20:A21"/>
    <mergeCell ref="B20:B21"/>
    <mergeCell ref="C20:C21"/>
    <mergeCell ref="D20:D21"/>
    <mergeCell ref="D14:E15"/>
    <mergeCell ref="F14:F15"/>
    <mergeCell ref="A16:A17"/>
    <mergeCell ref="B16:B17"/>
    <mergeCell ref="C16:C17"/>
    <mergeCell ref="D16:D17"/>
    <mergeCell ref="F10:G11"/>
    <mergeCell ref="H10:H11"/>
    <mergeCell ref="I10:J11"/>
    <mergeCell ref="K10:K11"/>
    <mergeCell ref="A12:A13"/>
    <mergeCell ref="B12:B13"/>
    <mergeCell ref="C12:C13"/>
    <mergeCell ref="D12:D13"/>
    <mergeCell ref="D6:E7"/>
    <mergeCell ref="F6:F7"/>
    <mergeCell ref="I6:J7"/>
    <mergeCell ref="K6:K7"/>
    <mergeCell ref="A8:A9"/>
    <mergeCell ref="B8:B9"/>
    <mergeCell ref="C8:C9"/>
    <mergeCell ref="D8:D9"/>
    <mergeCell ref="I8:J9"/>
    <mergeCell ref="K8:K9"/>
    <mergeCell ref="A1:H1"/>
    <mergeCell ref="A2:B2"/>
    <mergeCell ref="F2:K2"/>
    <mergeCell ref="A4:A5"/>
    <mergeCell ref="B4:B5"/>
    <mergeCell ref="C4:C5"/>
    <mergeCell ref="D4:D5"/>
    <mergeCell ref="I4:J5"/>
    <mergeCell ref="K4:K5"/>
  </mergeCells>
  <phoneticPr fontId="3"/>
  <conditionalFormatting sqref="D4:D5 F6:F7 D16:D17 F14:F15 H10:H11 D20:D21 F22:F23 H26:H27 J18:J19 D32:D33 F30:F31 D36:D37 F38:F39 D48:D49 F46:F47 H42:H43 J50:J51 D52:D53 D64:D65 F62:F63 F54:F55 H58:H59 J63:J64 J67:J68">
    <cfRule type="cellIs" dxfId="4" priority="5" operator="equal">
      <formula>""</formula>
    </cfRule>
  </conditionalFormatting>
  <conditionalFormatting sqref="D8:D9 D12:D13">
    <cfRule type="cellIs" dxfId="3" priority="4" operator="equal">
      <formula>""</formula>
    </cfRule>
  </conditionalFormatting>
  <conditionalFormatting sqref="D24:D25 D28:D29">
    <cfRule type="cellIs" dxfId="2" priority="3" operator="equal">
      <formula>""</formula>
    </cfRule>
  </conditionalFormatting>
  <conditionalFormatting sqref="D40:D41 D44:D45">
    <cfRule type="cellIs" dxfId="1" priority="2" operator="equal">
      <formula>""</formula>
    </cfRule>
  </conditionalFormatting>
  <conditionalFormatting sqref="D56:D57 D60:D61">
    <cfRule type="cellIs" dxfId="0" priority="1" operator="equal">
      <formula>""</formula>
    </cfRule>
  </conditionalFormatting>
  <dataValidations count="1">
    <dataValidation imeMode="off" allowBlank="1" showInputMessage="1" showErrorMessage="1" sqref="F22 D4 I21 F13 D18:D20 D34:D36 E44:G45 G28:G31 G12:G13 D32 F38 D28 F46 D48 D24 F54 E48:G53 D44 F62 E60:G61 D64 D12 F29:F30 D8 D16 D50:D52 G22:G23 F14:G14 G62:G63 G46:G47 F56 G54:G57 D40 F40 G39:G41 E28:E29 E32:G37 F24:G25 E12:E13 E16:G21 F4:G6 F8:G9 D60 D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16</vt:i4>
      </vt:variant>
    </vt:vector>
  </HeadingPairs>
  <TitlesOfParts>
    <vt:vector size="22" baseType="lpstr">
      <vt:lpstr>名簿</vt:lpstr>
      <vt:lpstr>予選 Ｐ</vt:lpstr>
      <vt:lpstr>組合せ</vt:lpstr>
      <vt:lpstr>対戦表</vt:lpstr>
      <vt:lpstr>ｼｰﾄﾞ</vt:lpstr>
      <vt:lpstr>ﾄｰﾅﾒﾝﾄ</vt:lpstr>
      <vt:lpstr>ｼｰﾄﾞ!Print_Area</vt:lpstr>
      <vt:lpstr>ﾄｰﾅﾒﾝﾄ!Print_Area</vt:lpstr>
      <vt:lpstr>組合せ!Print_Area</vt:lpstr>
      <vt:lpstr>対戦表!Print_Area</vt:lpstr>
      <vt:lpstr>名簿!Print_Area</vt:lpstr>
      <vt:lpstr>'予選 Ｐ'!Print_Area</vt:lpstr>
      <vt:lpstr>ｼｰﾄﾞ!Print_Titles</vt:lpstr>
      <vt:lpstr>名簿!Print_Titles</vt:lpstr>
      <vt:lpstr>'予選 Ｐ'!Print_Titles</vt:lpstr>
      <vt:lpstr>シード順位表参照範囲</vt:lpstr>
      <vt:lpstr>シード順位表番号列</vt:lpstr>
      <vt:lpstr>名簿</vt:lpstr>
      <vt:lpstr>予選０１Ｐ</vt:lpstr>
      <vt:lpstr>予選０２Ｐ</vt:lpstr>
      <vt:lpstr>予選０３Ｐ</vt:lpstr>
      <vt:lpstr>予選０４Ｐ</vt:lpstr>
    </vt:vector>
  </TitlesOfParts>
  <Manager>全国高等学校体育連盟フェンシング部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高校総体作業ファイル</dc:title>
  <dc:subject>女子個人対抗フルーレ処理ファイル</dc:subject>
  <dc:creator>AOKI</dc:creator>
  <cp:lastModifiedBy>青木優磨</cp:lastModifiedBy>
  <cp:lastPrinted>2018-03-25T01:23:53Z</cp:lastPrinted>
  <dcterms:created xsi:type="dcterms:W3CDTF">1998-07-21T05:39:32Z</dcterms:created>
  <dcterms:modified xsi:type="dcterms:W3CDTF">2018-03-25T06:33:34Z</dcterms:modified>
</cp:coreProperties>
</file>